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P\Downloads\"/>
    </mc:Choice>
  </mc:AlternateContent>
  <bookViews>
    <workbookView xWindow="0" yWindow="0" windowWidth="17256" windowHeight="5352"/>
  </bookViews>
  <sheets>
    <sheet name="Seniori" sheetId="1" r:id="rId1"/>
    <sheet name="Mladí jazdci" sheetId="13" r:id="rId2"/>
    <sheet name="Juniori" sheetId="2" r:id="rId3"/>
    <sheet name="Deti" sheetId="3" r:id="rId4"/>
    <sheet name="Pony jazdci" sheetId="14" r:id="rId5"/>
    <sheet name="Kôň roka" sheetId="7" r:id="rId6"/>
    <sheet name="Mladý kôň roka" sheetId="15" r:id="rId7"/>
    <sheet name="Pravidlá" sheetId="9" r:id="rId8"/>
  </sheets>
  <definedNames>
    <definedName name="_xlnm._FilterDatabase" localSheetId="2" hidden="1">Juniori!#REF!</definedName>
    <definedName name="_xlnm._FilterDatabase" localSheetId="5" hidden="1">'Kôň roka'!#REF!</definedName>
    <definedName name="_xlnm._FilterDatabase" localSheetId="6" hidden="1">'Mladý kôň roka'!#REF!</definedName>
    <definedName name="_xlnm.Criteria" localSheetId="2">Juniori!#REF!</definedName>
    <definedName name="solver_cvg" localSheetId="2" hidden="1">0.0001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hs1" localSheetId="2" hidden="1">Juniori!#REF!</definedName>
    <definedName name="solver_lin" localSheetId="2" hidden="1">2</definedName>
    <definedName name="solver_neg" localSheetId="2" hidden="1">2</definedName>
    <definedName name="solver_num" localSheetId="2" hidden="1">1</definedName>
    <definedName name="solver_nwt" localSheetId="2" hidden="1">1</definedName>
    <definedName name="solver_opt" localSheetId="2" hidden="1">Juniori!#REF!</definedName>
    <definedName name="solver_pre" localSheetId="2" hidden="1">0.000001</definedName>
    <definedName name="solver_rel1" localSheetId="2" hidden="1">2</definedName>
    <definedName name="solver_rhs1" localSheetId="2" hidden="1">Juniori!#REF!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1</definedName>
    <definedName name="solver_val" localSheetId="2" hidden="1">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3" i="3" l="1"/>
  <c r="I23" i="3" s="1"/>
  <c r="LD15" i="3"/>
  <c r="KD10" i="3"/>
  <c r="KD8" i="14"/>
  <c r="KC8" i="14"/>
  <c r="KD9" i="3"/>
  <c r="KC9" i="3"/>
  <c r="KD8" i="3"/>
  <c r="KC8" i="3"/>
  <c r="I138" i="7"/>
  <c r="J138" i="7" s="1"/>
  <c r="I166" i="7"/>
  <c r="J166" i="7" s="1"/>
  <c r="I173" i="7"/>
  <c r="J173" i="7" s="1"/>
  <c r="H21" i="3"/>
  <c r="I21" i="3" s="1"/>
  <c r="H22" i="3"/>
  <c r="H25" i="3"/>
  <c r="I25" i="3" s="1"/>
  <c r="LE62" i="7"/>
  <c r="KY62" i="7"/>
  <c r="KE88" i="7"/>
  <c r="KD88" i="7"/>
  <c r="KE28" i="7"/>
  <c r="KD28" i="7"/>
  <c r="I117" i="7"/>
  <c r="H20" i="14"/>
  <c r="H56" i="2"/>
  <c r="I56" i="2" s="1"/>
  <c r="I116" i="7"/>
  <c r="J116" i="7" s="1"/>
  <c r="H13" i="14"/>
  <c r="I13" i="14" s="1"/>
  <c r="H33" i="2"/>
  <c r="I33" i="2" s="1"/>
  <c r="KI63" i="7"/>
  <c r="KE63" i="7"/>
  <c r="KH22" i="2"/>
  <c r="KD22" i="2"/>
  <c r="I98" i="7"/>
  <c r="H28" i="2"/>
  <c r="I28" i="2" s="1"/>
  <c r="KH97" i="7"/>
  <c r="I97" i="7" s="1"/>
  <c r="KG32" i="2"/>
  <c r="H32" i="2"/>
  <c r="I32" i="2" s="1"/>
  <c r="I142" i="7"/>
  <c r="J142" i="7" s="1"/>
  <c r="H42" i="2"/>
  <c r="I42" i="2" s="1"/>
  <c r="LB13" i="2"/>
  <c r="KV13" i="2"/>
  <c r="LC61" i="7"/>
  <c r="KW61" i="7"/>
  <c r="KQ87" i="7"/>
  <c r="KP87" i="7"/>
  <c r="KP10" i="2"/>
  <c r="H10" i="2" s="1"/>
  <c r="KO10" i="2"/>
  <c r="KI81" i="7"/>
  <c r="KD81" i="7"/>
  <c r="KH12" i="13"/>
  <c r="KC12" i="13"/>
  <c r="H12" i="13"/>
  <c r="KH32" i="7"/>
  <c r="KD32" i="7"/>
  <c r="KG10" i="13"/>
  <c r="KC10" i="13"/>
  <c r="H72" i="1"/>
  <c r="I72" i="1" s="1"/>
  <c r="KH132" i="7"/>
  <c r="KG66" i="1"/>
  <c r="KJ72" i="7"/>
  <c r="KF72" i="7"/>
  <c r="KI58" i="1"/>
  <c r="KE58" i="1"/>
  <c r="KG65" i="1"/>
  <c r="KH95" i="7"/>
  <c r="KH131" i="7"/>
  <c r="KG79" i="1"/>
  <c r="KI39" i="7"/>
  <c r="KH39" i="7"/>
  <c r="KH45" i="1"/>
  <c r="KG45" i="1"/>
  <c r="I26" i="15"/>
  <c r="J26" i="15" s="1"/>
  <c r="KI59" i="1"/>
  <c r="KI85" i="7"/>
  <c r="KE85" i="7"/>
  <c r="KH64" i="1"/>
  <c r="KD64" i="1"/>
  <c r="KO30" i="7"/>
  <c r="KM30" i="7"/>
  <c r="KN77" i="7"/>
  <c r="KK77" i="7"/>
  <c r="KL24" i="15"/>
  <c r="KL71" i="7"/>
  <c r="KN36" i="1"/>
  <c r="KL36" i="1"/>
  <c r="KM35" i="1"/>
  <c r="KJ35" i="1"/>
  <c r="KK34" i="1"/>
  <c r="I72" i="7" l="1"/>
  <c r="J72" i="7" s="1"/>
  <c r="I87" i="7"/>
  <c r="J87" i="7" s="1"/>
  <c r="I81" i="7"/>
  <c r="J81" i="7" s="1"/>
  <c r="J97" i="7"/>
  <c r="H58" i="1"/>
  <c r="I123" i="7"/>
  <c r="J123" i="7" s="1"/>
  <c r="H27" i="3"/>
  <c r="I27" i="3" s="1"/>
  <c r="JQ60" i="7"/>
  <c r="JK60" i="7"/>
  <c r="JQ13" i="7"/>
  <c r="JK13" i="7"/>
  <c r="JQ8" i="7"/>
  <c r="JK8" i="7"/>
  <c r="JP23" i="2"/>
  <c r="JJ23" i="2"/>
  <c r="JP11" i="2"/>
  <c r="JJ11" i="2"/>
  <c r="JP9" i="2"/>
  <c r="JJ9" i="2"/>
  <c r="JP8" i="2"/>
  <c r="JJ8" i="2"/>
  <c r="JN8" i="14"/>
  <c r="JN13" i="3"/>
  <c r="JN12" i="3"/>
  <c r="JN18" i="3"/>
  <c r="JP40" i="7"/>
  <c r="JQ21" i="7"/>
  <c r="JK21" i="7"/>
  <c r="JP26" i="7"/>
  <c r="JJ26" i="7"/>
  <c r="JP22" i="7"/>
  <c r="JJ22" i="7"/>
  <c r="JO20" i="2"/>
  <c r="JO19" i="2"/>
  <c r="JI19" i="2"/>
  <c r="JO18" i="2"/>
  <c r="JI18" i="2"/>
  <c r="JH8" i="14"/>
  <c r="JI44" i="7"/>
  <c r="JH10" i="3"/>
  <c r="I19" i="1"/>
  <c r="I35" i="15"/>
  <c r="J35" i="15" s="1"/>
  <c r="JV29" i="15"/>
  <c r="I29" i="15" s="1"/>
  <c r="I41" i="15"/>
  <c r="J41" i="15" s="1"/>
  <c r="JU46" i="1"/>
  <c r="JV12" i="15"/>
  <c r="JV34" i="7"/>
  <c r="JI8" i="14"/>
  <c r="JU16" i="3"/>
  <c r="H9" i="3"/>
  <c r="I157" i="7"/>
  <c r="J157" i="7" s="1"/>
  <c r="JV76" i="7"/>
  <c r="I88" i="7"/>
  <c r="J88" i="7" s="1"/>
  <c r="H11" i="14"/>
  <c r="I11" i="14" s="1"/>
  <c r="I121" i="7"/>
  <c r="J121" i="7" s="1"/>
  <c r="I126" i="7"/>
  <c r="J126" i="7" s="1"/>
  <c r="I179" i="7"/>
  <c r="J179" i="7" s="1"/>
  <c r="I162" i="7"/>
  <c r="J162" i="7" s="1"/>
  <c r="I156" i="7"/>
  <c r="J156" i="7" s="1"/>
  <c r="I108" i="7"/>
  <c r="J108" i="7" s="1"/>
  <c r="I150" i="7"/>
  <c r="J150" i="7" s="1"/>
  <c r="I125" i="7"/>
  <c r="J125" i="7" s="1"/>
  <c r="I147" i="7"/>
  <c r="J147" i="7" s="1"/>
  <c r="H34" i="2"/>
  <c r="I34" i="2" s="1"/>
  <c r="H39" i="2"/>
  <c r="I39" i="2" s="1"/>
  <c r="H52" i="2"/>
  <c r="I52" i="2" s="1"/>
  <c r="H44" i="2"/>
  <c r="H45" i="2"/>
  <c r="H29" i="2"/>
  <c r="I29" i="2" s="1"/>
  <c r="H57" i="2"/>
  <c r="I57" i="2" s="1"/>
  <c r="H41" i="2"/>
  <c r="I41" i="2" s="1"/>
  <c r="H12" i="14"/>
  <c r="I12" i="14" s="1"/>
  <c r="JP21" i="7"/>
  <c r="JO11" i="2"/>
  <c r="JK26" i="7"/>
  <c r="JJ19" i="2"/>
  <c r="I30" i="15"/>
  <c r="J30" i="15" s="1"/>
  <c r="I163" i="7"/>
  <c r="J163" i="7" s="1"/>
  <c r="JV86" i="7"/>
  <c r="I86" i="7" s="1"/>
  <c r="J86" i="7" s="1"/>
  <c r="H22" i="13"/>
  <c r="I22" i="13" s="1"/>
  <c r="H23" i="13"/>
  <c r="I23" i="13" s="1"/>
  <c r="JU16" i="13"/>
  <c r="H16" i="13" s="1"/>
  <c r="I16" i="13" s="1"/>
  <c r="I44" i="15"/>
  <c r="J44" i="15" s="1"/>
  <c r="I38" i="15"/>
  <c r="J38" i="15" s="1"/>
  <c r="I39" i="15"/>
  <c r="J39" i="15" s="1"/>
  <c r="I136" i="7"/>
  <c r="J136" i="7" s="1"/>
  <c r="I135" i="7"/>
  <c r="J135" i="7" s="1"/>
  <c r="I153" i="7"/>
  <c r="J153" i="7" s="1"/>
  <c r="H81" i="1"/>
  <c r="I81" i="1" s="1"/>
  <c r="H80" i="1"/>
  <c r="I80" i="1" s="1"/>
  <c r="H83" i="1"/>
  <c r="I83" i="1" s="1"/>
  <c r="I118" i="7"/>
  <c r="J118" i="7" s="1"/>
  <c r="H70" i="1"/>
  <c r="I134" i="7"/>
  <c r="J134" i="7" s="1"/>
  <c r="I137" i="7"/>
  <c r="H68" i="1"/>
  <c r="I36" i="15"/>
  <c r="JV39" i="7"/>
  <c r="I39" i="7" s="1"/>
  <c r="JU45" i="1"/>
  <c r="H45" i="1" s="1"/>
  <c r="JW24" i="1"/>
  <c r="JX15" i="7"/>
  <c r="JN10" i="15"/>
  <c r="JH10" i="15"/>
  <c r="JN23" i="7"/>
  <c r="JI23" i="7"/>
  <c r="JH23" i="7"/>
  <c r="JM16" i="1"/>
  <c r="JH16" i="1"/>
  <c r="JG16" i="1"/>
  <c r="I44" i="2" l="1"/>
  <c r="IM17" i="3"/>
  <c r="H17" i="3" s="1"/>
  <c r="I17" i="3" s="1"/>
  <c r="IF10" i="3"/>
  <c r="ID10" i="3"/>
  <c r="IN122" i="7"/>
  <c r="I122" i="7" s="1"/>
  <c r="J122" i="7" s="1"/>
  <c r="IG44" i="7"/>
  <c r="IE44" i="7"/>
  <c r="IU28" i="7"/>
  <c r="IT28" i="7"/>
  <c r="IO28" i="7"/>
  <c r="IN28" i="7"/>
  <c r="IK28" i="7"/>
  <c r="IL111" i="7"/>
  <c r="I111" i="7" s="1"/>
  <c r="J111" i="7" s="1"/>
  <c r="I164" i="7"/>
  <c r="J164" i="7" s="1"/>
  <c r="I151" i="7"/>
  <c r="J151" i="7" s="1"/>
  <c r="I144" i="7"/>
  <c r="J144" i="7" s="1"/>
  <c r="I140" i="7"/>
  <c r="J140" i="7" s="1"/>
  <c r="IK31" i="2"/>
  <c r="H31" i="2" s="1"/>
  <c r="H58" i="2"/>
  <c r="I58" i="2" s="1"/>
  <c r="H50" i="2"/>
  <c r="I50" i="2" s="1"/>
  <c r="H30" i="2"/>
  <c r="H46" i="2"/>
  <c r="I46" i="2" s="1"/>
  <c r="IQ21" i="7"/>
  <c r="IO21" i="7"/>
  <c r="IP11" i="2"/>
  <c r="IN11" i="2"/>
  <c r="I11" i="2" s="1"/>
  <c r="I106" i="7"/>
  <c r="J106" i="7" s="1"/>
  <c r="IN103" i="7"/>
  <c r="I103" i="7" s="1"/>
  <c r="J103" i="7" s="1"/>
  <c r="IM67" i="1"/>
  <c r="H67" i="1" s="1"/>
  <c r="I67" i="1" s="1"/>
  <c r="IU65" i="7"/>
  <c r="IO65" i="7"/>
  <c r="IN65" i="7"/>
  <c r="IL65" i="7"/>
  <c r="IK65" i="7"/>
  <c r="HO17" i="7"/>
  <c r="HN17" i="7"/>
  <c r="HM17" i="7"/>
  <c r="HN9" i="1"/>
  <c r="HM9" i="1"/>
  <c r="HL9" i="1"/>
  <c r="I30" i="2" l="1"/>
  <c r="GY28" i="7"/>
  <c r="GP28" i="7"/>
  <c r="GX8" i="14"/>
  <c r="GO8" i="14"/>
  <c r="GX8" i="3"/>
  <c r="GO8" i="3"/>
  <c r="GJ20" i="7" l="1"/>
  <c r="FF20" i="7"/>
  <c r="FE20" i="7"/>
  <c r="EX20" i="7"/>
  <c r="EW20" i="7"/>
  <c r="DX20" i="7"/>
  <c r="DW20" i="7"/>
  <c r="DP20" i="7"/>
  <c r="DO20" i="7"/>
  <c r="CZ20" i="7"/>
  <c r="CP20" i="7"/>
  <c r="CO20" i="7"/>
  <c r="X20" i="7"/>
  <c r="W20" i="7"/>
  <c r="Q20" i="7"/>
  <c r="P20" i="7"/>
  <c r="H38" i="2"/>
  <c r="GI13" i="13"/>
  <c r="FE13" i="13"/>
  <c r="FD13" i="13"/>
  <c r="EW13" i="13"/>
  <c r="EV13" i="13"/>
  <c r="DW13" i="13"/>
  <c r="DV13" i="13"/>
  <c r="DO13" i="13"/>
  <c r="DN13" i="13"/>
  <c r="CY13" i="13"/>
  <c r="CO13" i="13"/>
  <c r="CN13" i="13"/>
  <c r="W13" i="13"/>
  <c r="V13" i="13"/>
  <c r="P13" i="13"/>
  <c r="O13" i="13"/>
  <c r="GW9" i="14"/>
  <c r="I28" i="15"/>
  <c r="J28" i="15" s="1"/>
  <c r="GF21" i="15"/>
  <c r="GK8" i="15"/>
  <c r="GW8" i="14"/>
  <c r="GG8" i="14"/>
  <c r="GF8" i="14"/>
  <c r="GX9" i="14"/>
  <c r="GM9" i="14"/>
  <c r="GF9" i="14"/>
  <c r="FG9" i="14"/>
  <c r="GV16" i="3"/>
  <c r="GE16" i="3"/>
  <c r="H14" i="3"/>
  <c r="H15" i="3"/>
  <c r="H18" i="3"/>
  <c r="H19" i="3"/>
  <c r="H24" i="3"/>
  <c r="H20" i="3"/>
  <c r="H26" i="3"/>
  <c r="H33" i="3"/>
  <c r="H28" i="3"/>
  <c r="H29" i="3"/>
  <c r="H30" i="3"/>
  <c r="H31" i="3"/>
  <c r="H32" i="3"/>
  <c r="FX13" i="3"/>
  <c r="FW13" i="3"/>
  <c r="FQ12" i="3"/>
  <c r="I12" i="3" s="1"/>
  <c r="GX11" i="3"/>
  <c r="GM11" i="3"/>
  <c r="GF11" i="3"/>
  <c r="FG11" i="3"/>
  <c r="GY10" i="3"/>
  <c r="GW10" i="3"/>
  <c r="GW8" i="3"/>
  <c r="GG8" i="3"/>
  <c r="GF8" i="3"/>
  <c r="GF76" i="7"/>
  <c r="FY55" i="7"/>
  <c r="FX55" i="7"/>
  <c r="FR55" i="7"/>
  <c r="GY38" i="7"/>
  <c r="GG38" i="7"/>
  <c r="FH38" i="7"/>
  <c r="GZ44" i="7"/>
  <c r="GG28" i="7"/>
  <c r="J28" i="7" s="1"/>
  <c r="I172" i="7"/>
  <c r="J172" i="7" s="1"/>
  <c r="I124" i="7"/>
  <c r="J124" i="7" s="1"/>
  <c r="H37" i="2"/>
  <c r="I37" i="2" s="1"/>
  <c r="H47" i="2"/>
  <c r="I47" i="2" s="1"/>
  <c r="GY18" i="2"/>
  <c r="GP18" i="2"/>
  <c r="GH18" i="2"/>
  <c r="GZ22" i="7"/>
  <c r="GQ22" i="7"/>
  <c r="GI22" i="7"/>
  <c r="GB40" i="7"/>
  <c r="GA20" i="2"/>
  <c r="GY19" i="2"/>
  <c r="GI19" i="2"/>
  <c r="GZ26" i="7"/>
  <c r="GJ26" i="7"/>
  <c r="HA8" i="2"/>
  <c r="GZ8" i="2"/>
  <c r="GS8" i="2"/>
  <c r="GR8" i="2"/>
  <c r="GL8" i="2"/>
  <c r="GJ8" i="2"/>
  <c r="GB8" i="2"/>
  <c r="FT8" i="2"/>
  <c r="FS8" i="2"/>
  <c r="HB8" i="7"/>
  <c r="HA8" i="7"/>
  <c r="GT8" i="7"/>
  <c r="GS8" i="7"/>
  <c r="GM8" i="7"/>
  <c r="GK8" i="7"/>
  <c r="GC8" i="7"/>
  <c r="FU8" i="7"/>
  <c r="FT8" i="7"/>
  <c r="HE13" i="7"/>
  <c r="HD13" i="7"/>
  <c r="HD9" i="2"/>
  <c r="HC9" i="2"/>
  <c r="H15" i="13"/>
  <c r="H19" i="13"/>
  <c r="H17" i="13"/>
  <c r="H20" i="13"/>
  <c r="H21" i="13"/>
  <c r="H18" i="13"/>
  <c r="H24" i="13"/>
  <c r="FJ79" i="7"/>
  <c r="GW15" i="15"/>
  <c r="GF15" i="15"/>
  <c r="GX32" i="7"/>
  <c r="GW32" i="7"/>
  <c r="GH32" i="7"/>
  <c r="GF32" i="7"/>
  <c r="GS35" i="7"/>
  <c r="GR35" i="7"/>
  <c r="GJ35" i="7"/>
  <c r="HB25" i="7"/>
  <c r="GT25" i="7"/>
  <c r="FI11" i="13"/>
  <c r="GW10" i="13"/>
  <c r="GV10" i="13"/>
  <c r="GG10" i="13"/>
  <c r="GE10" i="13"/>
  <c r="GR9" i="13"/>
  <c r="GQ9" i="13"/>
  <c r="GI9" i="13"/>
  <c r="HA8" i="13"/>
  <c r="GS8" i="13"/>
  <c r="I132" i="7"/>
  <c r="J132" i="7" s="1"/>
  <c r="H66" i="1"/>
  <c r="I66" i="1" s="1"/>
  <c r="I45" i="15"/>
  <c r="J45" i="15" s="1"/>
  <c r="I176" i="7"/>
  <c r="J176" i="7" s="1"/>
  <c r="H82" i="1"/>
  <c r="I82" i="1" s="1"/>
  <c r="I70" i="7"/>
  <c r="J70" i="7" s="1"/>
  <c r="HA45" i="7"/>
  <c r="GS45" i="7"/>
  <c r="GJ45" i="7"/>
  <c r="GZ50" i="1"/>
  <c r="GR50" i="1"/>
  <c r="GI50" i="1"/>
  <c r="I113" i="7"/>
  <c r="J113" i="7" s="1"/>
  <c r="H76" i="1"/>
  <c r="I76" i="1" s="1"/>
  <c r="I130" i="7"/>
  <c r="J130" i="7" s="1"/>
  <c r="H77" i="1"/>
  <c r="I77" i="1" s="1"/>
  <c r="GX84" i="7"/>
  <c r="GH84" i="7"/>
  <c r="GW63" i="1"/>
  <c r="GG63" i="1"/>
  <c r="FI44" i="1"/>
  <c r="FH44" i="1"/>
  <c r="FJ48" i="7"/>
  <c r="FI48" i="7"/>
  <c r="GN12" i="15"/>
  <c r="GF12" i="15"/>
  <c r="GN34" i="7"/>
  <c r="GF34" i="7"/>
  <c r="GM46" i="1"/>
  <c r="GE46" i="1"/>
  <c r="HJ49" i="1"/>
  <c r="HI49" i="1"/>
  <c r="HK50" i="7"/>
  <c r="HJ50" i="7"/>
  <c r="HJ64" i="7"/>
  <c r="HI48" i="1"/>
  <c r="GT40" i="1"/>
  <c r="GL40" i="1"/>
  <c r="GU24" i="7"/>
  <c r="GM24" i="7"/>
  <c r="HA24" i="1"/>
  <c r="GZ24" i="1"/>
  <c r="GK24" i="1"/>
  <c r="GJ24" i="1"/>
  <c r="GK11" i="15"/>
  <c r="HB15" i="7"/>
  <c r="HA15" i="7"/>
  <c r="GL15" i="7"/>
  <c r="GK15" i="7"/>
  <c r="GO36" i="7"/>
  <c r="GH36" i="7"/>
  <c r="GN28" i="1"/>
  <c r="GG28" i="1"/>
  <c r="HA27" i="1"/>
  <c r="GZ27" i="1"/>
  <c r="GR27" i="1"/>
  <c r="GK27" i="1"/>
  <c r="HB41" i="7"/>
  <c r="HA41" i="7"/>
  <c r="GS41" i="7"/>
  <c r="GL41" i="7"/>
  <c r="HB16" i="7"/>
  <c r="HA16" i="7"/>
  <c r="GT16" i="7"/>
  <c r="GS16" i="7"/>
  <c r="GL16" i="7"/>
  <c r="GC16" i="7"/>
  <c r="FU16" i="7"/>
  <c r="FT16" i="7"/>
  <c r="HA26" i="1"/>
  <c r="GZ26" i="1"/>
  <c r="GS26" i="1"/>
  <c r="GR26" i="1"/>
  <c r="GK26" i="1"/>
  <c r="GB26" i="1"/>
  <c r="FT26" i="1"/>
  <c r="FS26" i="1"/>
  <c r="GY43" i="1"/>
  <c r="GH43" i="1"/>
  <c r="GZ46" i="7"/>
  <c r="GI46" i="7"/>
  <c r="HA31" i="7"/>
  <c r="GZ42" i="1"/>
  <c r="GK9" i="15"/>
  <c r="HB14" i="1"/>
  <c r="GT14" i="1"/>
  <c r="GS14" i="1"/>
  <c r="GL14" i="1"/>
  <c r="GJ14" i="1"/>
  <c r="GC14" i="1"/>
  <c r="FU14" i="1"/>
  <c r="FT14" i="1"/>
  <c r="HC11" i="7"/>
  <c r="GU11" i="7"/>
  <c r="GT11" i="7"/>
  <c r="GM11" i="7"/>
  <c r="GK11" i="7"/>
  <c r="GD11" i="7"/>
  <c r="FV11" i="7"/>
  <c r="FU11" i="7"/>
  <c r="HC10" i="7"/>
  <c r="GU10" i="7"/>
  <c r="GT10" i="7"/>
  <c r="GM10" i="7"/>
  <c r="GL10" i="7"/>
  <c r="GD10" i="7"/>
  <c r="GC10" i="7"/>
  <c r="FV10" i="7"/>
  <c r="FU10" i="7"/>
  <c r="HB13" i="1"/>
  <c r="GT13" i="1"/>
  <c r="GS13" i="1"/>
  <c r="GL13" i="1"/>
  <c r="GK13" i="1"/>
  <c r="GC13" i="1"/>
  <c r="GB13" i="1"/>
  <c r="FU13" i="1"/>
  <c r="FT13" i="1"/>
  <c r="GW68" i="7"/>
  <c r="GN68" i="7"/>
  <c r="GV33" i="1"/>
  <c r="GM33" i="1"/>
  <c r="GY32" i="1"/>
  <c r="GN32" i="1"/>
  <c r="GZ69" i="7"/>
  <c r="GO69" i="7"/>
  <c r="GR56" i="7"/>
  <c r="GJ56" i="7"/>
  <c r="GQ31" i="1"/>
  <c r="GI31" i="1"/>
  <c r="GW30" i="1"/>
  <c r="GG30" i="1"/>
  <c r="GX27" i="7"/>
  <c r="GH27" i="7"/>
  <c r="HB19" i="7"/>
  <c r="GS19" i="7"/>
  <c r="GL19" i="7"/>
  <c r="GJ19" i="7"/>
  <c r="HA29" i="1"/>
  <c r="GR29" i="1"/>
  <c r="GK29" i="1"/>
  <c r="GI29" i="1"/>
  <c r="GV18" i="1"/>
  <c r="GM18" i="1"/>
  <c r="GE18" i="1"/>
  <c r="GW52" i="7"/>
  <c r="GN52" i="7"/>
  <c r="GF52" i="7"/>
  <c r="GW16" i="15"/>
  <c r="GN16" i="15"/>
  <c r="GF16" i="15"/>
  <c r="GW49" i="7"/>
  <c r="GN49" i="7"/>
  <c r="GF49" i="7"/>
  <c r="GV17" i="1"/>
  <c r="GM17" i="1"/>
  <c r="GE17" i="1"/>
  <c r="GV16" i="1"/>
  <c r="GM16" i="1"/>
  <c r="GE16" i="1"/>
  <c r="GW10" i="15"/>
  <c r="GN10" i="15"/>
  <c r="GF10" i="15"/>
  <c r="GW23" i="7"/>
  <c r="GN23" i="7"/>
  <c r="GF23" i="7"/>
  <c r="HC9" i="7"/>
  <c r="GU9" i="7"/>
  <c r="GT9" i="7"/>
  <c r="GM9" i="7"/>
  <c r="GL9" i="7"/>
  <c r="GD9" i="7"/>
  <c r="GC9" i="7"/>
  <c r="FV9" i="7"/>
  <c r="FU9" i="7"/>
  <c r="HB15" i="1"/>
  <c r="GT15" i="1"/>
  <c r="GS15" i="1"/>
  <c r="GL15" i="1"/>
  <c r="GK15" i="1"/>
  <c r="GC15" i="1"/>
  <c r="GB15" i="1"/>
  <c r="FU15" i="1"/>
  <c r="FT15" i="1"/>
  <c r="HB22" i="1"/>
  <c r="GT22" i="1"/>
  <c r="GL22" i="1"/>
  <c r="HC18" i="7"/>
  <c r="GU18" i="7"/>
  <c r="GM18" i="7"/>
  <c r="GB37" i="7"/>
  <c r="GD17" i="7"/>
  <c r="FV17" i="7"/>
  <c r="GC9" i="1"/>
  <c r="FU9" i="1"/>
  <c r="H11" i="1"/>
  <c r="H12" i="1"/>
  <c r="H19" i="1"/>
  <c r="H20" i="1"/>
  <c r="H21" i="1"/>
  <c r="H25" i="1"/>
  <c r="H35" i="1"/>
  <c r="H53" i="1"/>
  <c r="H56" i="1"/>
  <c r="H54" i="1"/>
  <c r="H73" i="1"/>
  <c r="H57" i="1"/>
  <c r="I57" i="1" s="1"/>
  <c r="H60" i="1"/>
  <c r="H61" i="1"/>
  <c r="H78" i="1"/>
  <c r="H85" i="1"/>
  <c r="H86" i="1"/>
  <c r="H64" i="1"/>
  <c r="H75" i="1"/>
  <c r="H79" i="1"/>
  <c r="H84" i="1"/>
  <c r="GA8" i="1"/>
  <c r="H8" i="1" s="1"/>
  <c r="I8" i="3" l="1"/>
  <c r="H48" i="1"/>
  <c r="I48" i="1"/>
  <c r="J46" i="7"/>
  <c r="H12" i="3"/>
  <c r="I13" i="13"/>
  <c r="H13" i="3"/>
  <c r="I55" i="7"/>
  <c r="J55" i="7" s="1"/>
  <c r="I45" i="7"/>
  <c r="J45" i="7" s="1"/>
  <c r="H63" i="1"/>
  <c r="H43" i="1"/>
  <c r="H50" i="1"/>
  <c r="I50" i="1" s="1"/>
  <c r="H9" i="1"/>
  <c r="H31" i="1"/>
  <c r="H27" i="1"/>
  <c r="H49" i="1"/>
  <c r="FN24" i="15"/>
  <c r="I24" i="15" s="1"/>
  <c r="J24" i="15" s="1"/>
  <c r="I77" i="7"/>
  <c r="J77" i="7" s="1"/>
  <c r="FN71" i="7"/>
  <c r="I71" i="7" s="1"/>
  <c r="J71" i="7" s="1"/>
  <c r="FN37" i="1"/>
  <c r="H37" i="1" s="1"/>
  <c r="FM34" i="1"/>
  <c r="H34" i="1" s="1"/>
  <c r="I49" i="2"/>
  <c r="H49" i="2"/>
  <c r="I89" i="7"/>
  <c r="J89" i="7" s="1"/>
  <c r="I15" i="13"/>
  <c r="I50" i="7"/>
  <c r="J50" i="7" s="1"/>
  <c r="I17" i="13" l="1"/>
  <c r="I32" i="15"/>
  <c r="EZ25" i="15"/>
  <c r="ER25" i="15"/>
  <c r="EZ12" i="15"/>
  <c r="ER12" i="15"/>
  <c r="FA22" i="15"/>
  <c r="ES22" i="15"/>
  <c r="I102" i="7"/>
  <c r="I76" i="7"/>
  <c r="I29" i="7"/>
  <c r="ET8" i="14"/>
  <c r="EK8" i="14"/>
  <c r="H21" i="14"/>
  <c r="I21" i="14" s="1"/>
  <c r="EH8" i="14"/>
  <c r="H18" i="14"/>
  <c r="I18" i="14" s="1"/>
  <c r="H16" i="14"/>
  <c r="I16" i="14" s="1"/>
  <c r="H17" i="14"/>
  <c r="I17" i="14" s="1"/>
  <c r="DU8" i="14"/>
  <c r="I8" i="14" s="1"/>
  <c r="DT8" i="14"/>
  <c r="EY9" i="14"/>
  <c r="ET9" i="14"/>
  <c r="EQ9" i="14"/>
  <c r="I40" i="15"/>
  <c r="J40" i="15" s="1"/>
  <c r="I78" i="1"/>
  <c r="I28" i="3"/>
  <c r="I30" i="3"/>
  <c r="I32" i="3"/>
  <c r="H34" i="3"/>
  <c r="I34" i="3" s="1"/>
  <c r="EY16" i="3"/>
  <c r="EQ16" i="3"/>
  <c r="EY11" i="3"/>
  <c r="ET11" i="3"/>
  <c r="EQ11" i="3"/>
  <c r="FC10" i="3"/>
  <c r="FB10" i="3"/>
  <c r="ET10" i="3"/>
  <c r="ET8" i="3"/>
  <c r="EK8" i="3"/>
  <c r="I154" i="7"/>
  <c r="J154" i="7" s="1"/>
  <c r="I155" i="7"/>
  <c r="I161" i="7"/>
  <c r="J161" i="7" s="1"/>
  <c r="I178" i="7"/>
  <c r="EZ38" i="7"/>
  <c r="I38" i="7" s="1"/>
  <c r="J38" i="7" s="1"/>
  <c r="FD44" i="7"/>
  <c r="EL28" i="7"/>
  <c r="FD22" i="7"/>
  <c r="EV22" i="7"/>
  <c r="FC18" i="2"/>
  <c r="EU18" i="2"/>
  <c r="I145" i="7"/>
  <c r="J145" i="7" s="1"/>
  <c r="H48" i="2"/>
  <c r="I171" i="7"/>
  <c r="J171" i="7" s="1"/>
  <c r="I115" i="7"/>
  <c r="J115" i="7" s="1"/>
  <c r="H16" i="2"/>
  <c r="H17" i="2"/>
  <c r="FE26" i="7"/>
  <c r="EW26" i="7"/>
  <c r="FD19" i="2"/>
  <c r="EV19" i="2"/>
  <c r="FB8" i="15"/>
  <c r="ET8" i="15"/>
  <c r="FF8" i="7"/>
  <c r="FB8" i="7"/>
  <c r="EX8" i="7"/>
  <c r="ET8" i="7"/>
  <c r="FE8" i="2"/>
  <c r="FA8" i="2"/>
  <c r="EW8" i="2"/>
  <c r="ES8" i="2"/>
  <c r="EQ13" i="7"/>
  <c r="EP13" i="7"/>
  <c r="EO13" i="7"/>
  <c r="EP9" i="2"/>
  <c r="EO9" i="2"/>
  <c r="EN9" i="2"/>
  <c r="I9" i="2" s="1"/>
  <c r="I18" i="13"/>
  <c r="EZ15" i="15"/>
  <c r="ER15" i="15"/>
  <c r="EZ32" i="7"/>
  <c r="EU32" i="7"/>
  <c r="ER32" i="7"/>
  <c r="FF25" i="7"/>
  <c r="EY10" i="13"/>
  <c r="ET10" i="13"/>
  <c r="EQ10" i="13"/>
  <c r="FE8" i="13"/>
  <c r="EG57" i="7"/>
  <c r="EF14" i="13"/>
  <c r="H14" i="13" s="1"/>
  <c r="I37" i="15"/>
  <c r="J37" i="15" s="1"/>
  <c r="I133" i="7"/>
  <c r="J133" i="7" s="1"/>
  <c r="FC65" i="7"/>
  <c r="I65" i="7" s="1"/>
  <c r="FB55" i="1"/>
  <c r="H55" i="1" s="1"/>
  <c r="FA48" i="7"/>
  <c r="ES48" i="7"/>
  <c r="EZ44" i="1"/>
  <c r="ER44" i="1"/>
  <c r="EZ34" i="7"/>
  <c r="ER34" i="7"/>
  <c r="EY46" i="1"/>
  <c r="EQ46" i="1"/>
  <c r="FD83" i="7"/>
  <c r="FC62" i="1"/>
  <c r="H62" i="1" s="1"/>
  <c r="I18" i="15"/>
  <c r="J18" i="15" s="1"/>
  <c r="I47" i="7"/>
  <c r="J47" i="7" s="1"/>
  <c r="ED13" i="15"/>
  <c r="ED30" i="7"/>
  <c r="EC36" i="1"/>
  <c r="FC42" i="7"/>
  <c r="EV42" i="7"/>
  <c r="EU42" i="7"/>
  <c r="EX33" i="7"/>
  <c r="FB39" i="1"/>
  <c r="EU39" i="1"/>
  <c r="ET39" i="1"/>
  <c r="EW38" i="1"/>
  <c r="H38" i="1" s="1"/>
  <c r="FB11" i="15"/>
  <c r="ET11" i="15"/>
  <c r="FF15" i="7"/>
  <c r="FB15" i="7"/>
  <c r="ET15" i="7"/>
  <c r="FE24" i="1"/>
  <c r="FA24" i="1"/>
  <c r="ES24" i="1"/>
  <c r="FC36" i="7"/>
  <c r="EU36" i="7"/>
  <c r="FE16" i="7"/>
  <c r="EX16" i="7"/>
  <c r="EW16" i="7"/>
  <c r="FB28" i="1"/>
  <c r="ET28" i="1"/>
  <c r="FD26" i="1"/>
  <c r="EW26" i="1"/>
  <c r="EV26" i="1"/>
  <c r="FE31" i="7"/>
  <c r="EW31" i="7"/>
  <c r="FE73" i="7"/>
  <c r="EW73" i="7"/>
  <c r="FD42" i="1"/>
  <c r="EV42" i="1"/>
  <c r="FD41" i="1"/>
  <c r="EV41" i="1"/>
  <c r="FB9" i="15"/>
  <c r="ET9" i="15"/>
  <c r="FF11" i="7"/>
  <c r="FB11" i="7"/>
  <c r="EX11" i="7"/>
  <c r="ET11" i="7"/>
  <c r="FG10" i="7"/>
  <c r="EY10" i="7"/>
  <c r="FE14" i="1"/>
  <c r="FA14" i="1"/>
  <c r="EW14" i="1"/>
  <c r="ES14" i="1"/>
  <c r="FF13" i="1"/>
  <c r="EX13" i="1"/>
  <c r="EZ68" i="7"/>
  <c r="ER68" i="7"/>
  <c r="FC69" i="7"/>
  <c r="EV69" i="7"/>
  <c r="EZ14" i="15"/>
  <c r="ER14" i="15"/>
  <c r="EZ27" i="7"/>
  <c r="ER27" i="7"/>
  <c r="FE19" i="7"/>
  <c r="EW19" i="7"/>
  <c r="EY33" i="1"/>
  <c r="EQ33" i="1"/>
  <c r="FB32" i="1"/>
  <c r="EU32" i="1"/>
  <c r="EY30" i="1"/>
  <c r="EQ30" i="1"/>
  <c r="FD29" i="1"/>
  <c r="EV29" i="1"/>
  <c r="EZ21" i="15"/>
  <c r="ER21" i="15"/>
  <c r="EZ52" i="7"/>
  <c r="ER52" i="7"/>
  <c r="EZ49" i="7"/>
  <c r="ER49" i="7"/>
  <c r="EZ16" i="15"/>
  <c r="ER16" i="15"/>
  <c r="EZ10" i="15"/>
  <c r="ER10" i="15"/>
  <c r="EZ23" i="7"/>
  <c r="ER23" i="7"/>
  <c r="FG9" i="7"/>
  <c r="FF9" i="7"/>
  <c r="EY9" i="7"/>
  <c r="EX9" i="7"/>
  <c r="EY18" i="1"/>
  <c r="EQ18" i="1"/>
  <c r="EY17" i="1"/>
  <c r="EQ17" i="1"/>
  <c r="EY16" i="1"/>
  <c r="EQ16" i="1"/>
  <c r="FF15" i="1"/>
  <c r="FE15" i="1"/>
  <c r="EX15" i="1"/>
  <c r="EW15" i="1"/>
  <c r="FB17" i="15"/>
  <c r="ET17" i="15"/>
  <c r="FB43" i="7"/>
  <c r="ET43" i="7"/>
  <c r="EY18" i="7"/>
  <c r="FA23" i="1"/>
  <c r="ES23" i="1"/>
  <c r="EX22" i="1"/>
  <c r="J13" i="7" l="1"/>
  <c r="H36" i="1"/>
  <c r="I34" i="1"/>
  <c r="J16" i="7"/>
  <c r="H9" i="14"/>
  <c r="I9" i="14" s="1"/>
  <c r="I26" i="1"/>
  <c r="H11" i="3"/>
  <c r="I25" i="15"/>
  <c r="J25" i="15" s="1"/>
  <c r="I17" i="15"/>
  <c r="J17" i="15" s="1"/>
  <c r="I52" i="7"/>
  <c r="J52" i="7" s="1"/>
  <c r="H16" i="3"/>
  <c r="I16" i="3" s="1"/>
  <c r="H44" i="1"/>
  <c r="I44" i="1" s="1"/>
  <c r="H17" i="1"/>
  <c r="H18" i="1"/>
  <c r="H41" i="1"/>
  <c r="H23" i="1"/>
  <c r="H14" i="14"/>
  <c r="I14" i="14" s="1"/>
  <c r="DU10" i="3"/>
  <c r="DT10" i="3"/>
  <c r="DM10" i="3"/>
  <c r="DU8" i="3"/>
  <c r="DT8" i="3"/>
  <c r="DV44" i="7"/>
  <c r="DN44" i="7"/>
  <c r="DV28" i="7"/>
  <c r="I159" i="7"/>
  <c r="J159" i="7" s="1"/>
  <c r="H54" i="2"/>
  <c r="I54" i="2" s="1"/>
  <c r="I165" i="7"/>
  <c r="J165" i="7" s="1"/>
  <c r="I139" i="7"/>
  <c r="J139" i="7" s="1"/>
  <c r="H55" i="2"/>
  <c r="I55" i="2" s="1"/>
  <c r="H59" i="2"/>
  <c r="DV22" i="7"/>
  <c r="DN22" i="7"/>
  <c r="DU18" i="2"/>
  <c r="DM18" i="2"/>
  <c r="DH78" i="7"/>
  <c r="DF78" i="7"/>
  <c r="DD78" i="7"/>
  <c r="DG24" i="2"/>
  <c r="DE24" i="2"/>
  <c r="DC24" i="2"/>
  <c r="DB21" i="7"/>
  <c r="J21" i="7" s="1"/>
  <c r="DA21" i="7"/>
  <c r="DA11" i="2"/>
  <c r="CZ11" i="2"/>
  <c r="DW26" i="7"/>
  <c r="DO26" i="7"/>
  <c r="DV19" i="2"/>
  <c r="DN19" i="2"/>
  <c r="DT8" i="15"/>
  <c r="DL8" i="15"/>
  <c r="DX8" i="7"/>
  <c r="DT8" i="7"/>
  <c r="DP8" i="7"/>
  <c r="DL8" i="7"/>
  <c r="DW8" i="2"/>
  <c r="DS8" i="2"/>
  <c r="DO8" i="2"/>
  <c r="DK8" i="2"/>
  <c r="DH13" i="7"/>
  <c r="DF13" i="7"/>
  <c r="DD13" i="7"/>
  <c r="DG9" i="2"/>
  <c r="DE9" i="2"/>
  <c r="DC9" i="2"/>
  <c r="DR15" i="15"/>
  <c r="DJ15" i="15"/>
  <c r="DM79" i="7"/>
  <c r="I79" i="7" s="1"/>
  <c r="J79" i="7" s="1"/>
  <c r="DR32" i="7"/>
  <c r="DM32" i="7"/>
  <c r="DJ32" i="7"/>
  <c r="DW35" i="7"/>
  <c r="DO35" i="7"/>
  <c r="DN35" i="7"/>
  <c r="DX25" i="7"/>
  <c r="DP25" i="7"/>
  <c r="DL11" i="13"/>
  <c r="H11" i="13" s="1"/>
  <c r="DQ10" i="13"/>
  <c r="DL10" i="13"/>
  <c r="DI10" i="13"/>
  <c r="DV9" i="13"/>
  <c r="DN9" i="13"/>
  <c r="DM9" i="13"/>
  <c r="DW8" i="13"/>
  <c r="DO8" i="13"/>
  <c r="H13" i="13"/>
  <c r="I84" i="7"/>
  <c r="J84" i="7" s="1"/>
  <c r="I63" i="1"/>
  <c r="DU104" i="7"/>
  <c r="I104" i="7" s="1"/>
  <c r="J104" i="7" s="1"/>
  <c r="DT71" i="1"/>
  <c r="H71" i="1" s="1"/>
  <c r="I71" i="1" s="1"/>
  <c r="DV66" i="7"/>
  <c r="I66" i="7" s="1"/>
  <c r="DJ12" i="15"/>
  <c r="I12" i="15" s="1"/>
  <c r="J12" i="15" s="1"/>
  <c r="DJ34" i="7"/>
  <c r="I34" i="7" s="1"/>
  <c r="J34" i="7" s="1"/>
  <c r="DU47" i="1"/>
  <c r="H47" i="1" s="1"/>
  <c r="DI46" i="1"/>
  <c r="H46" i="1" s="1"/>
  <c r="DQ24" i="7"/>
  <c r="DP40" i="1"/>
  <c r="H40" i="1" s="1"/>
  <c r="DV42" i="7"/>
  <c r="DU42" i="7"/>
  <c r="DU39" i="1"/>
  <c r="DT39" i="1"/>
  <c r="DT11" i="15"/>
  <c r="DL11" i="15"/>
  <c r="DX15" i="7"/>
  <c r="DT15" i="7"/>
  <c r="DP15" i="7"/>
  <c r="DL15" i="7"/>
  <c r="DW24" i="1"/>
  <c r="DS24" i="1"/>
  <c r="DO24" i="1"/>
  <c r="DK24" i="1"/>
  <c r="J36" i="15"/>
  <c r="DR36" i="7"/>
  <c r="I36" i="7" s="1"/>
  <c r="J36" i="7" s="1"/>
  <c r="DX16" i="7"/>
  <c r="DW16" i="7"/>
  <c r="DO16" i="7"/>
  <c r="DQ28" i="1"/>
  <c r="H28" i="1" s="1"/>
  <c r="DW26" i="1"/>
  <c r="DV26" i="1"/>
  <c r="DN26" i="1"/>
  <c r="I46" i="7"/>
  <c r="DW31" i="7"/>
  <c r="DO31" i="7"/>
  <c r="DV42" i="1"/>
  <c r="DN42" i="1"/>
  <c r="DT9" i="15"/>
  <c r="DL9" i="15"/>
  <c r="DY11" i="7"/>
  <c r="DT11" i="7"/>
  <c r="DQ11" i="7"/>
  <c r="DL11" i="7"/>
  <c r="DY10" i="7"/>
  <c r="DX10" i="7"/>
  <c r="DQ10" i="7"/>
  <c r="DP10" i="7"/>
  <c r="DX14" i="1"/>
  <c r="DS14" i="1"/>
  <c r="DP14" i="1"/>
  <c r="DK14" i="1"/>
  <c r="DX13" i="1"/>
  <c r="DW13" i="1"/>
  <c r="DP13" i="1"/>
  <c r="DO13" i="1"/>
  <c r="I99" i="7"/>
  <c r="DR14" i="15"/>
  <c r="I14" i="15" s="1"/>
  <c r="J14" i="15" s="1"/>
  <c r="DR68" i="7"/>
  <c r="I68" i="7" s="1"/>
  <c r="J68" i="7" s="1"/>
  <c r="DU69" i="7"/>
  <c r="DN69" i="7"/>
  <c r="DR27" i="7"/>
  <c r="DM27" i="7"/>
  <c r="DW19" i="7"/>
  <c r="DP19" i="7"/>
  <c r="DO19" i="7"/>
  <c r="DQ33" i="1"/>
  <c r="H33" i="1" s="1"/>
  <c r="DT32" i="1"/>
  <c r="DM32" i="1"/>
  <c r="DQ30" i="1"/>
  <c r="DL30" i="1"/>
  <c r="DV29" i="1"/>
  <c r="DO29" i="1"/>
  <c r="DN29" i="1"/>
  <c r="CU29" i="1"/>
  <c r="CN29" i="1"/>
  <c r="CM29" i="1"/>
  <c r="I21" i="15"/>
  <c r="J21" i="15" s="1"/>
  <c r="I16" i="15"/>
  <c r="J16" i="15" s="1"/>
  <c r="DR10" i="15"/>
  <c r="DJ10" i="15"/>
  <c r="I49" i="7"/>
  <c r="J49" i="7" s="1"/>
  <c r="DR23" i="7"/>
  <c r="DJ23" i="7"/>
  <c r="DY9" i="7"/>
  <c r="DX9" i="7"/>
  <c r="DQ9" i="7"/>
  <c r="DP9" i="7"/>
  <c r="DQ16" i="1"/>
  <c r="DI16" i="1"/>
  <c r="DX15" i="1"/>
  <c r="DW15" i="1"/>
  <c r="DP15" i="1"/>
  <c r="DO15" i="1"/>
  <c r="DC18" i="7"/>
  <c r="DB22" i="1"/>
  <c r="H22" i="1" s="1"/>
  <c r="DI12" i="7"/>
  <c r="DE12" i="7"/>
  <c r="DH10" i="1"/>
  <c r="DD10" i="1"/>
  <c r="AY96" i="7"/>
  <c r="AY58" i="7"/>
  <c r="AX52" i="1"/>
  <c r="H52" i="1" s="1"/>
  <c r="AX51" i="1"/>
  <c r="J11" i="7" l="1"/>
  <c r="J10" i="7"/>
  <c r="J8" i="7"/>
  <c r="I10" i="3"/>
  <c r="I8" i="2"/>
  <c r="J27" i="7"/>
  <c r="J19" i="7"/>
  <c r="H9" i="13"/>
  <c r="I8" i="1"/>
  <c r="I15" i="1"/>
  <c r="I13" i="1"/>
  <c r="I41" i="1"/>
  <c r="I29" i="1"/>
  <c r="J9" i="7"/>
  <c r="I44" i="7"/>
  <c r="J44" i="7" s="1"/>
  <c r="H8" i="3"/>
  <c r="H10" i="3"/>
  <c r="H10" i="13"/>
  <c r="H13" i="1"/>
  <c r="H14" i="1"/>
  <c r="H42" i="1"/>
  <c r="H24" i="1"/>
  <c r="I24" i="1"/>
  <c r="H39" i="1"/>
  <c r="H10" i="1"/>
  <c r="H15" i="1"/>
  <c r="H16" i="1"/>
  <c r="H29" i="1"/>
  <c r="H30" i="1"/>
  <c r="H32" i="1"/>
  <c r="H26" i="1"/>
  <c r="I11" i="15"/>
  <c r="J11" i="15" s="1"/>
  <c r="I15" i="15"/>
  <c r="J15" i="15" s="1"/>
  <c r="I23" i="7"/>
  <c r="J23" i="7" s="1"/>
  <c r="I69" i="7"/>
  <c r="J69" i="7" s="1"/>
  <c r="I27" i="7"/>
  <c r="I32" i="7"/>
  <c r="J32" i="7" s="1"/>
  <c r="I42" i="7"/>
  <c r="J42" i="7" s="1"/>
  <c r="I10" i="15"/>
  <c r="J10" i="15" s="1"/>
  <c r="I15" i="7"/>
  <c r="I174" i="7"/>
  <c r="J174" i="7" s="1"/>
  <c r="I53" i="2"/>
  <c r="H53" i="2"/>
  <c r="H36" i="2"/>
  <c r="I36" i="2" s="1"/>
  <c r="I35" i="7"/>
  <c r="J35" i="7" s="1"/>
  <c r="I19" i="7"/>
  <c r="CV8" i="13"/>
  <c r="I8" i="13" s="1"/>
  <c r="I109" i="7"/>
  <c r="J109" i="7" s="1"/>
  <c r="CF10" i="7"/>
  <c r="I75" i="7"/>
  <c r="J75" i="7" s="1"/>
  <c r="BN20" i="15"/>
  <c r="I34" i="15"/>
  <c r="J34" i="15" s="1"/>
  <c r="AJ95" i="7"/>
  <c r="AI65" i="1"/>
  <c r="H65" i="1" s="1"/>
  <c r="I43" i="15"/>
  <c r="J43" i="15" s="1"/>
  <c r="I42" i="15"/>
  <c r="J42" i="15" s="1"/>
  <c r="CH10" i="7"/>
  <c r="I60" i="7"/>
  <c r="J60" i="7" s="1"/>
  <c r="H23" i="2"/>
  <c r="I23" i="2" s="1"/>
  <c r="I56" i="1"/>
  <c r="H8" i="13" l="1"/>
  <c r="H11" i="2"/>
  <c r="H12" i="2"/>
  <c r="H13" i="2"/>
  <c r="H14" i="2"/>
  <c r="H15" i="2"/>
  <c r="H25" i="2"/>
  <c r="I25" i="2" s="1"/>
  <c r="H26" i="2"/>
  <c r="H19" i="2"/>
  <c r="I19" i="2" s="1"/>
  <c r="I120" i="7"/>
  <c r="J120" i="7" s="1"/>
  <c r="I112" i="7"/>
  <c r="J112" i="7" s="1"/>
  <c r="I100" i="7"/>
  <c r="J100" i="7" s="1"/>
  <c r="I160" i="7"/>
  <c r="J160" i="7" s="1"/>
  <c r="I20" i="3"/>
  <c r="I19" i="3"/>
  <c r="I18" i="3"/>
  <c r="I26" i="3"/>
  <c r="I110" i="7"/>
  <c r="J110" i="7" s="1"/>
  <c r="I107" i="7"/>
  <c r="J107" i="7" s="1"/>
  <c r="I93" i="7"/>
  <c r="I43" i="7"/>
  <c r="J43" i="7" s="1"/>
  <c r="I127" i="7"/>
  <c r="J127" i="7" s="1"/>
  <c r="H35" i="2"/>
  <c r="I35" i="2" s="1"/>
  <c r="I148" i="7"/>
  <c r="J148" i="7" s="1"/>
  <c r="I170" i="7"/>
  <c r="J170" i="7" s="1"/>
  <c r="I169" i="7"/>
  <c r="I57" i="7"/>
  <c r="J57" i="7" s="1"/>
  <c r="I14" i="13"/>
  <c r="I19" i="15"/>
  <c r="J19" i="15" s="1"/>
  <c r="H19" i="14"/>
  <c r="I19" i="14" s="1"/>
  <c r="I33" i="3"/>
  <c r="I14" i="7"/>
  <c r="I53" i="7"/>
  <c r="J53" i="7" s="1"/>
  <c r="I62" i="7"/>
  <c r="I149" i="7"/>
  <c r="J149" i="7" s="1"/>
  <c r="I167" i="7"/>
  <c r="J167" i="7" s="1"/>
  <c r="I51" i="7"/>
  <c r="J51" i="7" s="1"/>
  <c r="AI51" i="1"/>
  <c r="U51" i="1"/>
  <c r="N51" i="1"/>
  <c r="I58" i="7"/>
  <c r="J58" i="7" s="1"/>
  <c r="J177" i="7"/>
  <c r="I177" i="7"/>
  <c r="H51" i="1" l="1"/>
  <c r="I51" i="1" s="1"/>
  <c r="J14" i="7"/>
  <c r="I20" i="13"/>
  <c r="I60" i="1"/>
  <c r="I23" i="15"/>
  <c r="J23" i="15" s="1"/>
  <c r="I31" i="15"/>
  <c r="J31" i="15" s="1"/>
  <c r="I22" i="15"/>
  <c r="J22" i="15" s="1"/>
  <c r="I13" i="15"/>
  <c r="J13" i="15" s="1"/>
  <c r="I33" i="15"/>
  <c r="J33" i="15" s="1"/>
  <c r="I27" i="15"/>
  <c r="J27" i="15" s="1"/>
  <c r="I20" i="15"/>
  <c r="J20" i="15" s="1"/>
  <c r="I8" i="15"/>
  <c r="J8" i="15" s="1"/>
  <c r="I9" i="15"/>
  <c r="J9" i="15" s="1"/>
  <c r="H15" i="14"/>
  <c r="H10" i="14"/>
  <c r="I10" i="14" s="1"/>
  <c r="H8" i="14"/>
  <c r="I19" i="13"/>
  <c r="I15" i="14" l="1"/>
  <c r="I63" i="7"/>
  <c r="J63" i="7" s="1"/>
  <c r="I175" i="7"/>
  <c r="J175" i="7" s="1"/>
  <c r="I95" i="7"/>
  <c r="J95" i="7" s="1"/>
  <c r="H22" i="2"/>
  <c r="H21" i="2"/>
  <c r="I65" i="1"/>
  <c r="I30" i="7"/>
  <c r="J30" i="7" s="1"/>
  <c r="I54" i="7"/>
  <c r="J54" i="7" s="1"/>
  <c r="I158" i="7"/>
  <c r="J158" i="7" s="1"/>
  <c r="I21" i="2" l="1"/>
  <c r="I20" i="7"/>
  <c r="H24" i="2"/>
  <c r="I24" i="2" s="1"/>
  <c r="I67" i="7"/>
  <c r="J67" i="7" s="1"/>
  <c r="I78" i="7"/>
  <c r="J78" i="7" s="1"/>
  <c r="I141" i="7"/>
  <c r="J141" i="7" s="1"/>
  <c r="I131" i="7"/>
  <c r="J131" i="7" s="1"/>
  <c r="I79" i="1"/>
  <c r="J137" i="7"/>
  <c r="I48" i="7"/>
  <c r="J48" i="7" s="1"/>
  <c r="I64" i="1"/>
  <c r="I75" i="1"/>
  <c r="I84" i="1"/>
  <c r="I73" i="1"/>
  <c r="I14" i="3"/>
  <c r="I12" i="7"/>
  <c r="J12" i="7" s="1"/>
  <c r="I90" i="7"/>
  <c r="J90" i="7" s="1"/>
  <c r="I64" i="7"/>
  <c r="J64" i="7" s="1"/>
  <c r="I101" i="7"/>
  <c r="J101" i="7" s="1"/>
  <c r="I128" i="7"/>
  <c r="J128" i="7" s="1"/>
  <c r="I105" i="7"/>
  <c r="J105" i="7" s="1"/>
  <c r="I80" i="7"/>
  <c r="J80" i="7" s="1"/>
  <c r="I114" i="7"/>
  <c r="J114" i="7" s="1"/>
  <c r="I129" i="7"/>
  <c r="J129" i="7" s="1"/>
  <c r="I146" i="7"/>
  <c r="J146" i="7" s="1"/>
  <c r="J65" i="7"/>
  <c r="I143" i="7"/>
  <c r="J143" i="7" s="1"/>
  <c r="I55" i="1"/>
  <c r="I168" i="7"/>
  <c r="J168" i="7" s="1"/>
  <c r="I91" i="7"/>
  <c r="J91" i="7" s="1"/>
  <c r="H27" i="2"/>
  <c r="I27" i="2" s="1"/>
  <c r="H40" i="2"/>
  <c r="I40" i="2" s="1"/>
  <c r="H51" i="2"/>
  <c r="I51" i="2" l="1"/>
  <c r="I83" i="7"/>
  <c r="J83" i="7" s="1"/>
  <c r="I33" i="7"/>
  <c r="J33" i="7" s="1"/>
  <c r="I62" i="1"/>
  <c r="I41" i="7"/>
  <c r="J41" i="7" s="1"/>
  <c r="I74" i="7"/>
  <c r="J74" i="7" s="1"/>
  <c r="I25" i="7"/>
  <c r="J25" i="7" s="1"/>
  <c r="I85" i="7"/>
  <c r="J85" i="7" s="1"/>
  <c r="H18" i="2"/>
  <c r="I18" i="2" s="1"/>
  <c r="I56" i="7"/>
  <c r="J56" i="7" s="1"/>
  <c r="I24" i="7"/>
  <c r="J24" i="7" s="1"/>
  <c r="I21" i="7"/>
  <c r="I46" i="1"/>
  <c r="I40" i="1"/>
  <c r="J99" i="7"/>
  <c r="I18" i="7"/>
  <c r="J18" i="7" s="1"/>
  <c r="I16" i="7"/>
  <c r="I37" i="7"/>
  <c r="J37" i="7" s="1"/>
  <c r="I17" i="7"/>
  <c r="I8" i="7"/>
  <c r="I61" i="7"/>
  <c r="J61" i="7" s="1"/>
  <c r="I92" i="7"/>
  <c r="J92" i="7" s="1"/>
  <c r="I11" i="7"/>
  <c r="I26" i="7"/>
  <c r="J26" i="7" s="1"/>
  <c r="I152" i="7"/>
  <c r="J152" i="7" s="1"/>
  <c r="I9" i="7"/>
  <c r="I22" i="1"/>
  <c r="I13" i="7"/>
  <c r="I73" i="7"/>
  <c r="J73" i="7" s="1"/>
  <c r="I31" i="7"/>
  <c r="J31" i="7" s="1"/>
  <c r="I28" i="7"/>
  <c r="H9" i="2"/>
  <c r="H20" i="2"/>
  <c r="I20" i="2" s="1"/>
  <c r="I85" i="1"/>
  <c r="I54" i="1"/>
  <c r="J17" i="7" l="1"/>
  <c r="I38" i="1"/>
  <c r="H43" i="2" l="1"/>
  <c r="I43" i="2" s="1"/>
  <c r="I96" i="7" l="1"/>
  <c r="J96" i="7" s="1"/>
  <c r="I24" i="3" l="1"/>
  <c r="H8" i="2"/>
  <c r="I40" i="7" l="1"/>
  <c r="J40" i="7" s="1"/>
  <c r="I10" i="7"/>
  <c r="I22" i="7" l="1"/>
  <c r="J22" i="7" s="1"/>
  <c r="I82" i="7"/>
  <c r="J82" i="7" s="1"/>
  <c r="I59" i="7"/>
  <c r="J59" i="7" s="1"/>
  <c r="I94" i="7"/>
  <c r="J94" i="7" s="1"/>
  <c r="I119" i="7"/>
  <c r="J119" i="7" s="1"/>
  <c r="H59" i="1" l="1"/>
  <c r="I59" i="1" s="1"/>
  <c r="H74" i="1"/>
  <c r="I74" i="1" s="1"/>
  <c r="H69" i="1" l="1"/>
  <c r="I69" i="1" s="1"/>
</calcChain>
</file>

<file path=xl/sharedStrings.xml><?xml version="1.0" encoding="utf-8"?>
<sst xmlns="http://schemas.openxmlformats.org/spreadsheetml/2006/main" count="4223" uniqueCount="481">
  <si>
    <t>Jazdec roka 2021</t>
  </si>
  <si>
    <t xml:space="preserve"> </t>
  </si>
  <si>
    <t>Seniori</t>
  </si>
  <si>
    <t>Poradie</t>
  </si>
  <si>
    <t>Jazdec</t>
  </si>
  <si>
    <t>Licencia SJF</t>
  </si>
  <si>
    <t>Kôň</t>
  </si>
  <si>
    <t>Rok nar.</t>
  </si>
  <si>
    <t>Subjekt</t>
  </si>
  <si>
    <t>Body celkom</t>
  </si>
  <si>
    <t>Spolu      15 NAJ</t>
  </si>
  <si>
    <t>20.-21.01.2021</t>
  </si>
  <si>
    <t>27.-28.02.2021</t>
  </si>
  <si>
    <t>09.-.10.04.2021</t>
  </si>
  <si>
    <t>23.-25.04.2021</t>
  </si>
  <si>
    <t>30.04.-01.05.2021</t>
  </si>
  <si>
    <t>01.-02.05.2021</t>
  </si>
  <si>
    <t>06.-09.05.2021</t>
  </si>
  <si>
    <t>07.-09.05.2021</t>
  </si>
  <si>
    <t>07.-08.05.2021</t>
  </si>
  <si>
    <t>08.-09.05.2021</t>
  </si>
  <si>
    <t>08.05.2021</t>
  </si>
  <si>
    <t>13.-16.05.2021</t>
  </si>
  <si>
    <t>21.-23.05.2021</t>
  </si>
  <si>
    <t>22.05.2021</t>
  </si>
  <si>
    <t>29.-30.05.2021</t>
  </si>
  <si>
    <t>04.-06.06.2021</t>
  </si>
  <si>
    <t>12.-13.06.2021</t>
  </si>
  <si>
    <t>17.-20.06.2021</t>
  </si>
  <si>
    <t>18.-19.06.2021</t>
  </si>
  <si>
    <t>25.-26.06.2021</t>
  </si>
  <si>
    <t>26.-27.06.2021</t>
  </si>
  <si>
    <t>03.07.2021</t>
  </si>
  <si>
    <t>03.-04.07.2021</t>
  </si>
  <si>
    <t>16.-18.07.2021</t>
  </si>
  <si>
    <t>24.-25.07.2021</t>
  </si>
  <si>
    <t>31.07.2021</t>
  </si>
  <si>
    <t>06.-.08.08.2021</t>
  </si>
  <si>
    <t>07.-.08.08. 2021</t>
  </si>
  <si>
    <t>07.-.08.08.2021</t>
  </si>
  <si>
    <t>13.-15.08.2021</t>
  </si>
  <si>
    <t>26.-27.08.2021</t>
  </si>
  <si>
    <t>28.-29.08.2021</t>
  </si>
  <si>
    <t>06.-12.09.2021</t>
  </si>
  <si>
    <t>11.-12.09.2021</t>
  </si>
  <si>
    <t>24.09.2021</t>
  </si>
  <si>
    <t>25.09.2021</t>
  </si>
  <si>
    <t>Motešice</t>
  </si>
  <si>
    <t>Kaposvár HUN</t>
  </si>
  <si>
    <t>Zakrzów POL CDI</t>
  </si>
  <si>
    <t>Máriakálnok HUN</t>
  </si>
  <si>
    <t>Pilisjászfalu HUN</t>
  </si>
  <si>
    <t>Máriakálnok HUN CDI</t>
  </si>
  <si>
    <t>Gerasdorf bei Wien AUT</t>
  </si>
  <si>
    <t>Ornago ITA CDI</t>
  </si>
  <si>
    <t>Ranzenbach AUT</t>
  </si>
  <si>
    <t>Csőmőr HUN</t>
  </si>
  <si>
    <t>Műnchen AUT CDI</t>
  </si>
  <si>
    <t>Műnchen AUT</t>
  </si>
  <si>
    <t>Szilvásvárad HUN CDI</t>
  </si>
  <si>
    <t>Šamorín</t>
  </si>
  <si>
    <t>Achleiten AUT CDI</t>
  </si>
  <si>
    <t>Šamorín CDI</t>
  </si>
  <si>
    <t>Topoľčianky</t>
  </si>
  <si>
    <t>Pilisjászfalu HUN CDI</t>
  </si>
  <si>
    <t>Brno CZE CDI</t>
  </si>
  <si>
    <t>Dlhá nad Oravou</t>
  </si>
  <si>
    <t>Spišská Teplica</t>
  </si>
  <si>
    <t>Bábolna HUN</t>
  </si>
  <si>
    <t>Šamornín CDI</t>
  </si>
  <si>
    <t>Szilvásvárad HUN</t>
  </si>
  <si>
    <t>Dunajský Klátov</t>
  </si>
  <si>
    <t>Stadl Paura AUT</t>
  </si>
  <si>
    <t>Panská Lícha CZE</t>
  </si>
  <si>
    <t>Hagen GER ME</t>
  </si>
  <si>
    <t>Šamorín MSR</t>
  </si>
  <si>
    <t>Olomouc CZE</t>
  </si>
  <si>
    <t>Pezinok</t>
  </si>
  <si>
    <t>P1</t>
  </si>
  <si>
    <t>P3</t>
  </si>
  <si>
    <t>4r</t>
  </si>
  <si>
    <t>DUB</t>
  </si>
  <si>
    <t>DUA</t>
  </si>
  <si>
    <t>JU</t>
  </si>
  <si>
    <t>JD</t>
  </si>
  <si>
    <t>YU</t>
  </si>
  <si>
    <t>YD</t>
  </si>
  <si>
    <t>YJ</t>
  </si>
  <si>
    <t>DD</t>
  </si>
  <si>
    <t>JJ</t>
  </si>
  <si>
    <t>Jv</t>
  </si>
  <si>
    <t>SG</t>
  </si>
  <si>
    <t>6rF</t>
  </si>
  <si>
    <t>6rU</t>
  </si>
  <si>
    <t>IMII</t>
  </si>
  <si>
    <t>GP</t>
  </si>
  <si>
    <t>IMI</t>
  </si>
  <si>
    <t>GPS</t>
  </si>
  <si>
    <t>5rU</t>
  </si>
  <si>
    <t>GPv</t>
  </si>
  <si>
    <t>7rU</t>
  </si>
  <si>
    <t>7rF</t>
  </si>
  <si>
    <t>IMIv</t>
  </si>
  <si>
    <t>5rF</t>
  </si>
  <si>
    <t>DJ</t>
  </si>
  <si>
    <t>LS7</t>
  </si>
  <si>
    <t>ChA</t>
  </si>
  <si>
    <t>LS5</t>
  </si>
  <si>
    <t>Pv</t>
  </si>
  <si>
    <t>P4</t>
  </si>
  <si>
    <t>Z4</t>
  </si>
  <si>
    <t>Z2</t>
  </si>
  <si>
    <t>L1</t>
  </si>
  <si>
    <t>L5</t>
  </si>
  <si>
    <t>LS1</t>
  </si>
  <si>
    <t>LP4</t>
  </si>
  <si>
    <t>LP5</t>
  </si>
  <si>
    <t>IM II</t>
  </si>
  <si>
    <t>Bugan Michael</t>
  </si>
  <si>
    <t>Dark Dionysos B</t>
  </si>
  <si>
    <t>JK SŠ Ivanka pri Dunaji</t>
  </si>
  <si>
    <t>Floretto DK</t>
  </si>
  <si>
    <t>For President</t>
  </si>
  <si>
    <t>Quarters Dream B</t>
  </si>
  <si>
    <t>Zauber der Venus</t>
  </si>
  <si>
    <t>Horná Michaela</t>
  </si>
  <si>
    <t>Forever</t>
  </si>
  <si>
    <t>JK pri NŽ Topoľčianky</t>
  </si>
  <si>
    <t>Lorry</t>
  </si>
  <si>
    <t>Vančo Peter</t>
  </si>
  <si>
    <t>Conversano XIII-47</t>
  </si>
  <si>
    <t>Loretto</t>
  </si>
  <si>
    <t>Lotta</t>
  </si>
  <si>
    <t>Dormane Du Puy-16</t>
  </si>
  <si>
    <t>Marthaler Veronika</t>
  </si>
  <si>
    <t>Z0048</t>
  </si>
  <si>
    <t>Mary Poppins</t>
  </si>
  <si>
    <t>TJ Žrebčín Motešice</t>
  </si>
  <si>
    <t>Don Amigo</t>
  </si>
  <si>
    <t>Furioso XXXVIII-3 Red Willow</t>
  </si>
  <si>
    <t>Spišáková Paraskevi</t>
  </si>
  <si>
    <t>G Star</t>
  </si>
  <si>
    <t>JK Equipolis</t>
  </si>
  <si>
    <t>Junior</t>
  </si>
  <si>
    <t>Slobodníková Anežka</t>
  </si>
  <si>
    <t>Jantar</t>
  </si>
  <si>
    <t>JK Ivanka pri Dunaji</t>
  </si>
  <si>
    <t>Furioso L-34 Némés</t>
  </si>
  <si>
    <t>Kintšer David</t>
  </si>
  <si>
    <t>Siglavy XV-2</t>
  </si>
  <si>
    <t>Conversano XIII-60</t>
  </si>
  <si>
    <t>Pluto XXI-19</t>
  </si>
  <si>
    <t>Flaková Kristína</t>
  </si>
  <si>
    <t>Bonnami</t>
  </si>
  <si>
    <t>Bonnavi</t>
  </si>
  <si>
    <t>Neapolitano XIV-16</t>
  </si>
  <si>
    <t>Favory XVIII-19</t>
  </si>
  <si>
    <t>Arisa</t>
  </si>
  <si>
    <t>Kuhajda Milan</t>
  </si>
  <si>
    <t>Ariston ER</t>
  </si>
  <si>
    <t>JK Jurský Dvor Nitra</t>
  </si>
  <si>
    <t>Emilio</t>
  </si>
  <si>
    <t>Pechová Michaela</t>
  </si>
  <si>
    <t>Edgar</t>
  </si>
  <si>
    <t>Patócs Ádám</t>
  </si>
  <si>
    <t>Cooper D.D.H.</t>
  </si>
  <si>
    <t>Chili RB</t>
  </si>
  <si>
    <t>Diamantina</t>
  </si>
  <si>
    <t>Jágo</t>
  </si>
  <si>
    <t>Nittnaus Martina</t>
  </si>
  <si>
    <t>Nautica</t>
  </si>
  <si>
    <t>Favory XII-13</t>
  </si>
  <si>
    <t>Pet</t>
  </si>
  <si>
    <t>Záhorská Silvia</t>
  </si>
  <si>
    <t>Dancing Scarlett</t>
  </si>
  <si>
    <t>Merci</t>
  </si>
  <si>
    <t>Fraňová Linda</t>
  </si>
  <si>
    <t>Hermiona</t>
  </si>
  <si>
    <t>JO Martin Záturčie</t>
  </si>
  <si>
    <t>Charleen</t>
  </si>
  <si>
    <t>Danielová Michaela</t>
  </si>
  <si>
    <t>Hornett</t>
  </si>
  <si>
    <t>Vida Bratislava</t>
  </si>
  <si>
    <t>Ďurechová Laura</t>
  </si>
  <si>
    <t>Furioso XLII-6 SK Red Mafia</t>
  </si>
  <si>
    <t>Furioso XXXVI-5 Ula</t>
  </si>
  <si>
    <t>Furioso XLII-15 SK Red Melody</t>
  </si>
  <si>
    <t>Chorváthová Katarína</t>
  </si>
  <si>
    <t>Donneshallowa II</t>
  </si>
  <si>
    <t>Royal Ruby</t>
  </si>
  <si>
    <t>Edmár Péter</t>
  </si>
  <si>
    <t>Denilas</t>
  </si>
  <si>
    <t>JK Czajlík Ranch Dun. Klátov</t>
  </si>
  <si>
    <t>Valenská Kristána</t>
  </si>
  <si>
    <t>JŠ Bernolákovo</t>
  </si>
  <si>
    <t>Božiková Michaela</t>
  </si>
  <si>
    <t>Winstar</t>
  </si>
  <si>
    <t>JK Balunky Bratislava</t>
  </si>
  <si>
    <t>Kožienková Nikola</t>
  </si>
  <si>
    <t>Frederico</t>
  </si>
  <si>
    <t>JK Húšť Dlhá nad Oravou</t>
  </si>
  <si>
    <t>Kohút Patrik</t>
  </si>
  <si>
    <t>Catooscha</t>
  </si>
  <si>
    <t>MedGene Bratislava</t>
  </si>
  <si>
    <t>Burešová Alena</t>
  </si>
  <si>
    <t>Gidran XIX-7 SK Ishtar</t>
  </si>
  <si>
    <t>JK Rozálka Pezinok</t>
  </si>
  <si>
    <t>Nonius XXXII-1 SK Darwin</t>
  </si>
  <si>
    <t>Kseňáková Daniela</t>
  </si>
  <si>
    <t>Aurora</t>
  </si>
  <si>
    <t>Leap of Faith</t>
  </si>
  <si>
    <t>Kyselovičová Radka</t>
  </si>
  <si>
    <t>Ladika</t>
  </si>
  <si>
    <t>Sihelský Ivan</t>
  </si>
  <si>
    <t>Zinedine</t>
  </si>
  <si>
    <t>KPKRJ Rimavská Sobota</t>
  </si>
  <si>
    <t>Gilániová Sofia</t>
  </si>
  <si>
    <t>Camparo</t>
  </si>
  <si>
    <t>JK Masarykov Dvor</t>
  </si>
  <si>
    <t>Petrušková Milada</t>
  </si>
  <si>
    <t>Inesperado Amado</t>
  </si>
  <si>
    <t>JK Equida Prievidza</t>
  </si>
  <si>
    <t>Benčíková Veronika</t>
  </si>
  <si>
    <t>Nour Faustino</t>
  </si>
  <si>
    <t>JK Limit Bratislava</t>
  </si>
  <si>
    <t>Smreková Barbora</t>
  </si>
  <si>
    <t>Sokrates GT</t>
  </si>
  <si>
    <t>Parkur Team Košice</t>
  </si>
  <si>
    <t>Eibner Patrik</t>
  </si>
  <si>
    <t>Nightstar JMG</t>
  </si>
  <si>
    <t>Kochaníková Lucia</t>
  </si>
  <si>
    <t>Fabia De Napoli</t>
  </si>
  <si>
    <t>JK J.R. OZ Kapušany</t>
  </si>
  <si>
    <t>Šteflovičová Sylvia</t>
  </si>
  <si>
    <t>Danciana Diamond Princess</t>
  </si>
  <si>
    <t>JK Josy Team Trnava</t>
  </si>
  <si>
    <t>Eim Iveta</t>
  </si>
  <si>
    <t>Gipsy King</t>
  </si>
  <si>
    <t>JK TJ Slávia STU Bratislava</t>
  </si>
  <si>
    <t>Ivinová Lucia</t>
  </si>
  <si>
    <t>Umbero L</t>
  </si>
  <si>
    <t>Beri Klub Nová Baňa</t>
  </si>
  <si>
    <t>Toti</t>
  </si>
  <si>
    <t>Líšková Sylvia</t>
  </si>
  <si>
    <t>Madoc</t>
  </si>
  <si>
    <t>JŠK PS Farm Sv. Jur</t>
  </si>
  <si>
    <t>Krakovská Viera</t>
  </si>
  <si>
    <t>Jayden Coblesse</t>
  </si>
  <si>
    <t>Equestrian Sport Center Žilina</t>
  </si>
  <si>
    <t>Pálešová Natália</t>
  </si>
  <si>
    <t>Noro Charisma</t>
  </si>
  <si>
    <t>Ranč Ouzkých Bratislava</t>
  </si>
  <si>
    <t>Pribiš Valeria</t>
  </si>
  <si>
    <t>Z0078</t>
  </si>
  <si>
    <t>Panache Van De Pikkerie</t>
  </si>
  <si>
    <t>Andrikovičová Martina</t>
  </si>
  <si>
    <t>Speed Spirius</t>
  </si>
  <si>
    <t>Maťugová Petra</t>
  </si>
  <si>
    <t>Heraldiko</t>
  </si>
  <si>
    <t>Kasari</t>
  </si>
  <si>
    <t>Šutková Barbora</t>
  </si>
  <si>
    <t>Drago</t>
  </si>
  <si>
    <t>Žarnovická Jana</t>
  </si>
  <si>
    <t>Irish Cream</t>
  </si>
  <si>
    <t>ŠK Divoká Voda Bratislava</t>
  </si>
  <si>
    <t>SPOLU</t>
  </si>
  <si>
    <t>Mladí jazdci</t>
  </si>
  <si>
    <t>Balážová Michaela</t>
  </si>
  <si>
    <t>Marengo</t>
  </si>
  <si>
    <t>1. drezúrna škola ZR Prešov</t>
  </si>
  <si>
    <t>Neapolitano XIV-28 SK</t>
  </si>
  <si>
    <t>Rubin Royal Hubert</t>
  </si>
  <si>
    <t>Daily Fűrstin</t>
  </si>
  <si>
    <t>Sklenárová Elena</t>
  </si>
  <si>
    <t>Revue</t>
  </si>
  <si>
    <t>Ranč Palomino Bohunice</t>
  </si>
  <si>
    <t>Dragašová Deana</t>
  </si>
  <si>
    <t>Elbrus</t>
  </si>
  <si>
    <t>Kuzmiaková Dominika</t>
  </si>
  <si>
    <t>Okladna/Ornesca</t>
  </si>
  <si>
    <t>Škvarková Kristína</t>
  </si>
  <si>
    <t>Daphne</t>
  </si>
  <si>
    <t>Čičmancová Katarína</t>
  </si>
  <si>
    <t>Fiona</t>
  </si>
  <si>
    <t>JK Limfora Badín</t>
  </si>
  <si>
    <t>Gajtková Terézia</t>
  </si>
  <si>
    <t>Przedswith XXXII-3/Venezia</t>
  </si>
  <si>
    <t>Cehláriková Linda</t>
  </si>
  <si>
    <t>Fochnant Efa</t>
  </si>
  <si>
    <t>JK Santána Trenčianske Mitice</t>
  </si>
  <si>
    <t>Ďuríková Ema</t>
  </si>
  <si>
    <t>Przedswit XXXII-6 SK Pralinka</t>
  </si>
  <si>
    <t>NDKG Chorvátsky Grob</t>
  </si>
  <si>
    <t>Przedswit XXIX-9 Topka</t>
  </si>
  <si>
    <t>Jánošová Ema</t>
  </si>
  <si>
    <t>Neapolitano XIV-20</t>
  </si>
  <si>
    <t>Kurnotová Simona</t>
  </si>
  <si>
    <t>Barón</t>
  </si>
  <si>
    <t>Juniori</t>
  </si>
  <si>
    <t>Spolu       15 NAJ</t>
  </si>
  <si>
    <t>Kilíková Linda</t>
  </si>
  <si>
    <t>Rocky Diamond</t>
  </si>
  <si>
    <t>JK Horse Club Nitra</t>
  </si>
  <si>
    <t>Ledecká Zoya</t>
  </si>
  <si>
    <t>Si Belle 2</t>
  </si>
  <si>
    <t>Balunky Družstvo Bratislava</t>
  </si>
  <si>
    <t>Križanová Lucia</t>
  </si>
  <si>
    <t>Silver Moonlight</t>
  </si>
  <si>
    <t>Petranová Sofia Laura</t>
  </si>
  <si>
    <t>Alice im Wunderland</t>
  </si>
  <si>
    <t>Furioso XL Móric</t>
  </si>
  <si>
    <t>Piaf</t>
  </si>
  <si>
    <t>Przedswti XXXIV-7 Únava</t>
  </si>
  <si>
    <t>Furioso XXV-22 Moskva</t>
  </si>
  <si>
    <t>Dangl Lara</t>
  </si>
  <si>
    <t>Giovanni</t>
  </si>
  <si>
    <t>Cingelová Diana</t>
  </si>
  <si>
    <t>Largo</t>
  </si>
  <si>
    <t>Šebestová Anna Mária</t>
  </si>
  <si>
    <t>Chisto 22</t>
  </si>
  <si>
    <t>Sláviková Lucia</t>
  </si>
  <si>
    <t>Ebony B.</t>
  </si>
  <si>
    <t>Jurštáková Dorota</t>
  </si>
  <si>
    <t>Grigoris S</t>
  </si>
  <si>
    <t>JK Trenčín Nozdrkovce</t>
  </si>
  <si>
    <t>Blštáková Katarína</t>
  </si>
  <si>
    <t>Przedswit XXXIII-Chocolate</t>
  </si>
  <si>
    <t>Furioso XXV-38 Osaka</t>
  </si>
  <si>
    <t>Martyneková Júlia</t>
  </si>
  <si>
    <t>Ninus</t>
  </si>
  <si>
    <t>JK OVER Žilina</t>
  </si>
  <si>
    <t>Jankovičová Veronika</t>
  </si>
  <si>
    <t>Henessy</t>
  </si>
  <si>
    <t>Alfőldy Lilla</t>
  </si>
  <si>
    <t>Casting</t>
  </si>
  <si>
    <t>JK Czajlík Ranch</t>
  </si>
  <si>
    <t>Cantona R</t>
  </si>
  <si>
    <t>Ohrablová Alexandra</t>
  </si>
  <si>
    <t>Tennessee</t>
  </si>
  <si>
    <t>Richterová Izabela</t>
  </si>
  <si>
    <t>Flek</t>
  </si>
  <si>
    <t>Halamová Katarína</t>
  </si>
  <si>
    <t>Geerestein</t>
  </si>
  <si>
    <t>Labusová Tamara</t>
  </si>
  <si>
    <t>Caissy</t>
  </si>
  <si>
    <t>JK MŠK Čajka Kežmarok</t>
  </si>
  <si>
    <t>Rusty Del Cherra Z</t>
  </si>
  <si>
    <t>Cigániková Paulína</t>
  </si>
  <si>
    <t>Chevalier</t>
  </si>
  <si>
    <t>LaRoc Horses Stupava</t>
  </si>
  <si>
    <t>Kramplová Natália</t>
  </si>
  <si>
    <t>Betka</t>
  </si>
  <si>
    <t>Martinkovýchová Sarah</t>
  </si>
  <si>
    <t>Carter T</t>
  </si>
  <si>
    <t>JK Agropartner Plavecké Podhradie</t>
  </si>
  <si>
    <t>Gavorníková Laura</t>
  </si>
  <si>
    <t>Figaro</t>
  </si>
  <si>
    <t>Gregerová Sára</t>
  </si>
  <si>
    <t>Neapolitano XII-23</t>
  </si>
  <si>
    <t>Linda</t>
  </si>
  <si>
    <t>Gulásziová Liliana</t>
  </si>
  <si>
    <t>Balibay</t>
  </si>
  <si>
    <t>Hložeková Lara</t>
  </si>
  <si>
    <t>Furioso XXX-Frodo</t>
  </si>
  <si>
    <t>Catalin XIII-4 Sokol</t>
  </si>
  <si>
    <t>Hubodová Amália</t>
  </si>
  <si>
    <t>Sissi</t>
  </si>
  <si>
    <t>Jencáková Alexandra</t>
  </si>
  <si>
    <t>Grancor</t>
  </si>
  <si>
    <t>Kolesárová Ema</t>
  </si>
  <si>
    <t>Cascada M</t>
  </si>
  <si>
    <t>OZ Galaxia Sp. Teplica</t>
  </si>
  <si>
    <t>Kostelníková Zuzana Anna</t>
  </si>
  <si>
    <t>Zara Dew</t>
  </si>
  <si>
    <t>Kršnáková Kristína</t>
  </si>
  <si>
    <t>Shadow</t>
  </si>
  <si>
    <t>Mydlárová Anabela</t>
  </si>
  <si>
    <t>Lorea Baz</t>
  </si>
  <si>
    <t>Ondrejková Alexandra</t>
  </si>
  <si>
    <t>Nonius XX-3</t>
  </si>
  <si>
    <t>ZCHKS Topoľčianky</t>
  </si>
  <si>
    <t>Smolková Lucia</t>
  </si>
  <si>
    <t>Furioso XXXIV-12 SK</t>
  </si>
  <si>
    <t>Tucná Gréta</t>
  </si>
  <si>
    <t>Nicolas</t>
  </si>
  <si>
    <t>Aviatik RVP</t>
  </si>
  <si>
    <t>Deti</t>
  </si>
  <si>
    <t>Spolu        15 NAJ</t>
  </si>
  <si>
    <t>Hunová Diana</t>
  </si>
  <si>
    <t>Sans Gene</t>
  </si>
  <si>
    <t>Don Dimanche</t>
  </si>
  <si>
    <t>Polláková Tamara</t>
  </si>
  <si>
    <t>Cartago-S</t>
  </si>
  <si>
    <t>Šotterová Alexandra</t>
  </si>
  <si>
    <t>Bacardi - P</t>
  </si>
  <si>
    <t>Amadeus 791</t>
  </si>
  <si>
    <t>Pestunová Alica</t>
  </si>
  <si>
    <t>Némes Furioso L-34</t>
  </si>
  <si>
    <t>Magál Ján</t>
  </si>
  <si>
    <t>Dafne Van Dej</t>
  </si>
  <si>
    <t>Kucsora Barbora</t>
  </si>
  <si>
    <t>Vadrózsa</t>
  </si>
  <si>
    <t>Eržinová Stella</t>
  </si>
  <si>
    <t>Amber Nuance</t>
  </si>
  <si>
    <t>JK Gazdovstvo Uhliská</t>
  </si>
  <si>
    <t>Eibnerová Júlia</t>
  </si>
  <si>
    <t>Crystal 9</t>
  </si>
  <si>
    <t>Molnárová Liana</t>
  </si>
  <si>
    <t>Lolita</t>
  </si>
  <si>
    <t>Horníková Bibiana</t>
  </si>
  <si>
    <t>Avaris</t>
  </si>
  <si>
    <t>Stajňa Plameň Miloslavov</t>
  </si>
  <si>
    <t>Slováková Nella</t>
  </si>
  <si>
    <t>Tempelwind</t>
  </si>
  <si>
    <t>Kováčiková Lucia</t>
  </si>
  <si>
    <t>Lorietta</t>
  </si>
  <si>
    <t>Beláková Kristína</t>
  </si>
  <si>
    <t>Limit</t>
  </si>
  <si>
    <t>Kuricová Nina</t>
  </si>
  <si>
    <t>Morfeus</t>
  </si>
  <si>
    <t>Ketah Koheilan</t>
  </si>
  <si>
    <t>Kresánková Vanesa</t>
  </si>
  <si>
    <t>Malíková Viktória</t>
  </si>
  <si>
    <t>Marthaler Lilly Alena</t>
  </si>
  <si>
    <t>Václav</t>
  </si>
  <si>
    <t>Vozárová Nela</t>
  </si>
  <si>
    <t>JK Over Žilina</t>
  </si>
  <si>
    <t>Pony jazdci</t>
  </si>
  <si>
    <t>Homolová Lucia</t>
  </si>
  <si>
    <t>Kôň roka</t>
  </si>
  <si>
    <t>Kategória</t>
  </si>
  <si>
    <t>Killíková Linda</t>
  </si>
  <si>
    <t>J</t>
  </si>
  <si>
    <t>JK Horse Klub Nitra</t>
  </si>
  <si>
    <t>S</t>
  </si>
  <si>
    <t>Balunky družstvo Bratislava</t>
  </si>
  <si>
    <t>Y</t>
  </si>
  <si>
    <t>D</t>
  </si>
  <si>
    <t>Cargato-S</t>
  </si>
  <si>
    <t>Valenská Kristína</t>
  </si>
  <si>
    <t>Grigosis S</t>
  </si>
  <si>
    <t>Donnershallowa II</t>
  </si>
  <si>
    <t>Ebony B</t>
  </si>
  <si>
    <t>Sokrates G-T</t>
  </si>
  <si>
    <t>Przedswit XIX-16/Chocolate</t>
  </si>
  <si>
    <t>Gidran XXI-7/Toronto</t>
  </si>
  <si>
    <t>Grujbárová Sofia</t>
  </si>
  <si>
    <t>Przedswit XXXII-3SK/Venezia</t>
  </si>
  <si>
    <t>Przedswit XXXII-6 Pralinka</t>
  </si>
  <si>
    <t>Mladý kôň roka</t>
  </si>
  <si>
    <t>01.-03.10.2021</t>
  </si>
  <si>
    <t>02.10.2021</t>
  </si>
  <si>
    <t>09.-10.10.2021</t>
  </si>
  <si>
    <t>14.-17.10.2021</t>
  </si>
  <si>
    <t>30.-31.10.2021</t>
  </si>
  <si>
    <t>Fót HUN CDI</t>
  </si>
  <si>
    <t>Vígľaš</t>
  </si>
  <si>
    <t>Zagreb CRO</t>
  </si>
  <si>
    <t>E6</t>
  </si>
  <si>
    <t>MK4</t>
  </si>
  <si>
    <t>Z</t>
  </si>
  <si>
    <t>Delars Boy</t>
  </si>
  <si>
    <t>Mániková Zuzana</t>
  </si>
  <si>
    <t>Gandalf V</t>
  </si>
  <si>
    <t>JŠ Považany</t>
  </si>
  <si>
    <t>Quirado-5</t>
  </si>
  <si>
    <t>Django</t>
  </si>
  <si>
    <t>Ácová Laura</t>
  </si>
  <si>
    <t>Beauty Boy</t>
  </si>
  <si>
    <t>Halajová Daniela</t>
  </si>
  <si>
    <t>Lakotová Rebeka</t>
  </si>
  <si>
    <t>Luptáková Natália</t>
  </si>
  <si>
    <t>Giro</t>
  </si>
  <si>
    <t>Psotková Hana</t>
  </si>
  <si>
    <t>Očovaiová Alexandra</t>
  </si>
  <si>
    <t>Samba</t>
  </si>
  <si>
    <t>I-Horses Biskupice</t>
  </si>
  <si>
    <t>Ižoldová Miriam</t>
  </si>
  <si>
    <t>Trevignano</t>
  </si>
  <si>
    <t>JK Zelená míľa</t>
  </si>
  <si>
    <t>Pepino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</si>
</sst>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7" x14ac:knownFonts="1">
    <font>
      <sz val="10"/>
      <name val="Arial"/>
      <charset val="238"/>
    </font>
    <font>
      <b/>
      <sz val="10"/>
      <name val="Arial"/>
      <family val="2"/>
      <charset val="238"/>
    </font>
    <font>
      <b/>
      <sz val="20"/>
      <color indexed="20"/>
      <name val="Arial"/>
      <family val="2"/>
      <charset val="238"/>
    </font>
    <font>
      <b/>
      <sz val="18"/>
      <color indexed="20"/>
      <name val="Arial"/>
      <family val="2"/>
      <charset val="238"/>
    </font>
    <font>
      <b/>
      <sz val="20"/>
      <color indexed="49"/>
      <name val="Arial"/>
      <family val="2"/>
      <charset val="238"/>
    </font>
    <font>
      <sz val="10"/>
      <color indexed="49"/>
      <name val="Arial"/>
      <family val="2"/>
      <charset val="238"/>
    </font>
    <font>
      <b/>
      <sz val="18"/>
      <color indexed="49"/>
      <name val="Arial"/>
      <family val="2"/>
      <charset val="238"/>
    </font>
    <font>
      <sz val="10"/>
      <color indexed="52"/>
      <name val="Arial"/>
      <family val="2"/>
      <charset val="238"/>
    </font>
    <font>
      <b/>
      <sz val="18"/>
      <color indexed="52"/>
      <name val="Arial"/>
      <family val="2"/>
      <charset val="238"/>
    </font>
    <font>
      <sz val="10"/>
      <name val="Arial"/>
      <family val="2"/>
      <charset val="238"/>
    </font>
    <font>
      <b/>
      <sz val="10"/>
      <color indexed="20"/>
      <name val="Arial"/>
      <family val="2"/>
      <charset val="238"/>
    </font>
    <font>
      <sz val="10"/>
      <color indexed="61"/>
      <name val="Arial"/>
      <family val="2"/>
      <charset val="238"/>
    </font>
    <font>
      <b/>
      <sz val="20"/>
      <color rgb="FF00B050"/>
      <name val="Arial"/>
      <family val="2"/>
      <charset val="238"/>
    </font>
    <font>
      <b/>
      <sz val="18"/>
      <color rgb="FF00B05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20"/>
      <color theme="7" tint="-0.249977111117893"/>
      <name val="Arial"/>
      <family val="2"/>
      <charset val="238"/>
    </font>
    <font>
      <sz val="10"/>
      <color theme="7" tint="-0.249977111117893"/>
      <name val="Arial"/>
      <family val="2"/>
      <charset val="238"/>
    </font>
    <font>
      <b/>
      <sz val="18"/>
      <color theme="7" tint="-0.249977111117893"/>
      <name val="Arial"/>
      <family val="2"/>
      <charset val="238"/>
    </font>
    <font>
      <b/>
      <sz val="20"/>
      <color rgb="FF92D050"/>
      <name val="Arial"/>
      <family val="2"/>
      <charset val="238"/>
    </font>
    <font>
      <b/>
      <sz val="20"/>
      <color rgb="FFC00000"/>
      <name val="Arial"/>
      <family val="2"/>
      <charset val="238"/>
    </font>
    <font>
      <sz val="10"/>
      <color rgb="FFC00000"/>
      <name val="Arial"/>
      <family val="2"/>
      <charset val="238"/>
    </font>
    <font>
      <b/>
      <sz val="18"/>
      <color rgb="FFC0000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sz val="20"/>
      <color rgb="FFCC0099"/>
      <name val="Arial"/>
      <family val="2"/>
      <charset val="238"/>
    </font>
    <font>
      <b/>
      <sz val="20"/>
      <color theme="9"/>
      <name val="Arial"/>
      <family val="2"/>
      <charset val="238"/>
    </font>
    <font>
      <sz val="10"/>
      <color theme="9"/>
      <name val="Arial"/>
      <family val="2"/>
      <charset val="238"/>
    </font>
    <font>
      <b/>
      <sz val="10"/>
      <color theme="9"/>
      <name val="Arial"/>
      <family val="2"/>
      <charset val="238"/>
    </font>
    <font>
      <b/>
      <sz val="18"/>
      <color theme="9"/>
      <name val="Arial"/>
      <family val="2"/>
      <charset val="238"/>
    </font>
    <font>
      <sz val="10"/>
      <color rgb="FFCC0099"/>
      <name val="Arial"/>
      <family val="2"/>
      <charset val="238"/>
    </font>
    <font>
      <b/>
      <sz val="10"/>
      <color rgb="FFCC0099"/>
      <name val="Arial"/>
      <family val="2"/>
      <charset val="238"/>
    </font>
    <font>
      <b/>
      <sz val="18"/>
      <color rgb="FFCC0099"/>
      <name val="Arial"/>
      <family val="2"/>
      <charset val="238"/>
    </font>
    <font>
      <b/>
      <sz val="20"/>
      <color theme="3"/>
      <name val="Arial"/>
      <family val="2"/>
      <charset val="238"/>
    </font>
    <font>
      <b/>
      <sz val="10"/>
      <color theme="3"/>
      <name val="Arial"/>
      <family val="2"/>
      <charset val="238"/>
    </font>
    <font>
      <sz val="10"/>
      <color theme="3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sz val="10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0"/>
      <color theme="1"/>
      <name val="Arial"/>
    </font>
    <font>
      <sz val="10"/>
      <color theme="1"/>
      <name val="Calibri"/>
    </font>
    <font>
      <sz val="10"/>
      <color rgb="FF000000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theme="0"/>
      </patternFill>
    </fill>
  </fills>
  <borders count="118">
    <border>
      <left/>
      <right/>
      <top/>
      <bottom/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39997558519241921"/>
      </left>
      <right/>
      <top/>
      <bottom style="thin">
        <color theme="7" tint="0.39997558519241921"/>
      </bottom>
      <diagonal/>
    </border>
    <border>
      <left/>
      <right/>
      <top/>
      <bottom style="thin">
        <color theme="7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 style="thin">
        <color theme="7" tint="0.39997558519241921"/>
      </left>
      <right/>
      <top/>
      <bottom/>
      <diagonal/>
    </border>
    <border>
      <left/>
      <right/>
      <top style="thin">
        <color theme="7" tint="0.39997558519241921"/>
      </top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/>
      <right/>
      <top/>
      <bottom style="thin">
        <color theme="8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/>
      <diagonal/>
    </border>
    <border>
      <left style="thin">
        <color theme="8" tint="0.39997558519241921"/>
      </left>
      <right/>
      <top/>
      <bottom/>
      <diagonal/>
    </border>
    <border>
      <left/>
      <right/>
      <top style="thin">
        <color theme="8" tint="0.39997558519241921"/>
      </top>
      <bottom/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5" tint="0.39997558519241921"/>
      </left>
      <right/>
      <top/>
      <bottom style="thin">
        <color theme="5" tint="0.39997558519241921"/>
      </bottom>
      <diagonal/>
    </border>
    <border>
      <left/>
      <right/>
      <top/>
      <bottom style="thin">
        <color theme="5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 style="thin">
        <color theme="5" tint="0.39997558519241921"/>
      </left>
      <right/>
      <top/>
      <bottom/>
      <diagonal/>
    </border>
    <border>
      <left/>
      <right/>
      <top style="thin">
        <color theme="5" tint="0.39997558519241921"/>
      </top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/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 style="thin">
        <color theme="6" tint="0.39997558519241921"/>
      </left>
      <right/>
      <top/>
      <bottom/>
      <diagonal/>
    </border>
    <border>
      <left/>
      <right/>
      <top style="thin">
        <color theme="6" tint="0.39997558519241921"/>
      </top>
      <bottom/>
      <diagonal/>
    </border>
    <border>
      <left style="thin">
        <color theme="6" tint="0.39994506668294322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4506668294322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4506668294322"/>
      </left>
      <right/>
      <top/>
      <bottom style="thin">
        <color theme="6" tint="0.39997558519241921"/>
      </bottom>
      <diagonal/>
    </border>
    <border>
      <left/>
      <right style="thin">
        <color theme="6" tint="0.39994506668294322"/>
      </right>
      <top/>
      <bottom style="thin">
        <color theme="6" tint="0.39997558519241921"/>
      </bottom>
      <diagonal/>
    </border>
    <border>
      <left style="thin">
        <color theme="7" tint="0.39994506668294322"/>
      </left>
      <right/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4506668294322"/>
      </right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39994506668294322"/>
      </left>
      <right/>
      <top/>
      <bottom style="thin">
        <color theme="7" tint="0.39997558519241921"/>
      </bottom>
      <diagonal/>
    </border>
    <border>
      <left/>
      <right style="thin">
        <color theme="7" tint="0.39994506668294322"/>
      </right>
      <top/>
      <bottom style="thin">
        <color theme="7" tint="0.39997558519241921"/>
      </bottom>
      <diagonal/>
    </border>
    <border>
      <left style="thin">
        <color theme="8" tint="0.39994506668294322"/>
      </left>
      <right/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8" tint="0.39994506668294322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4506668294322"/>
      </left>
      <right/>
      <top/>
      <bottom style="thin">
        <color theme="8" tint="0.39997558519241921"/>
      </bottom>
      <diagonal/>
    </border>
    <border>
      <left/>
      <right style="thin">
        <color theme="8" tint="0.39994506668294322"/>
      </right>
      <top/>
      <bottom style="thin">
        <color theme="8" tint="0.39997558519241921"/>
      </bottom>
      <diagonal/>
    </border>
    <border>
      <left style="thin">
        <color theme="5" tint="0.39994506668294322"/>
      </left>
      <right/>
      <top style="thin">
        <color theme="5" tint="0.39997558519241921"/>
      </top>
      <bottom style="thin">
        <color theme="5" tint="0.39997558519241921"/>
      </bottom>
      <diagonal/>
    </border>
    <border>
      <left/>
      <right style="thin">
        <color theme="5" tint="0.39994506668294322"/>
      </right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5" tint="0.39994506668294322"/>
      </left>
      <right/>
      <top/>
      <bottom style="thin">
        <color theme="5" tint="0.39997558519241921"/>
      </bottom>
      <diagonal/>
    </border>
    <border>
      <left/>
      <right style="thin">
        <color theme="5" tint="0.39994506668294322"/>
      </right>
      <top/>
      <bottom style="thin">
        <color theme="5" tint="0.39997558519241921"/>
      </bottom>
      <diagonal/>
    </border>
    <border>
      <left/>
      <right style="thin">
        <color theme="8" tint="0.39994506668294322"/>
      </right>
      <top style="thin">
        <color theme="8" tint="0.39994506668294322"/>
      </top>
      <bottom style="thin">
        <color theme="8" tint="0.39997558519241921"/>
      </bottom>
      <diagonal/>
    </border>
    <border>
      <left style="thin">
        <color theme="7" tint="0.39994506668294322"/>
      </left>
      <right style="thin">
        <color theme="7" tint="0.39991454817346722"/>
      </right>
      <top/>
      <bottom style="thin">
        <color theme="7" tint="0.39997558519241921"/>
      </bottom>
      <diagonal/>
    </border>
    <border>
      <left style="thin">
        <color theme="7" tint="0.39994506668294322"/>
      </left>
      <right/>
      <top/>
      <bottom/>
      <diagonal/>
    </border>
    <border>
      <left/>
      <right style="thin">
        <color theme="7" tint="0.39994506668294322"/>
      </right>
      <top/>
      <bottom/>
      <diagonal/>
    </border>
    <border>
      <left style="thin">
        <color theme="7" tint="0.39994506668294322"/>
      </left>
      <right style="thin">
        <color theme="7" tint="0.39991454817346722"/>
      </right>
      <top/>
      <bottom/>
      <diagonal/>
    </border>
    <border>
      <left style="thin">
        <color theme="7" tint="0.39994506668294322"/>
      </left>
      <right style="thin">
        <color theme="7" tint="0.39991454817346722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1454817346722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1454817346722"/>
      </right>
      <top/>
      <bottom style="thin">
        <color theme="7" tint="0.39997558519241921"/>
      </bottom>
      <diagonal/>
    </border>
    <border>
      <left/>
      <right style="thin">
        <color theme="7" tint="0.39991454817346722"/>
      </right>
      <top/>
      <bottom/>
      <diagonal/>
    </border>
    <border>
      <left style="thin">
        <color theme="7" tint="0.59996337778862885"/>
      </left>
      <right/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59996337778862885"/>
      </right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59996337778862885"/>
      </left>
      <right/>
      <top/>
      <bottom style="thin">
        <color theme="7" tint="0.39997558519241921"/>
      </bottom>
      <diagonal/>
    </border>
    <border>
      <left/>
      <right style="thin">
        <color theme="7" tint="0.59996337778862885"/>
      </right>
      <top/>
      <bottom style="thin">
        <color theme="7" tint="0.39997558519241921"/>
      </bottom>
      <diagonal/>
    </border>
    <border>
      <left style="thin">
        <color theme="7" tint="0.59996337778862885"/>
      </left>
      <right/>
      <top/>
      <bottom/>
      <diagonal/>
    </border>
    <border>
      <left/>
      <right style="thin">
        <color theme="7" tint="0.59996337778862885"/>
      </right>
      <top/>
      <bottom/>
      <diagonal/>
    </border>
    <border>
      <left/>
      <right style="thin">
        <color theme="6" tint="0.39991454817346722"/>
      </right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1454817346722"/>
      </right>
      <top/>
      <bottom style="thin">
        <color theme="6" tint="0.39997558519241921"/>
      </bottom>
      <diagonal/>
    </border>
    <border>
      <left/>
      <right style="thin">
        <color theme="5" tint="0.39991454817346722"/>
      </right>
      <top style="thin">
        <color theme="5" tint="0.39997558519241921"/>
      </top>
      <bottom style="thin">
        <color theme="5" tint="0.39997558519241921"/>
      </bottom>
      <diagonal/>
    </border>
    <border>
      <left/>
      <right style="thin">
        <color theme="5" tint="0.39991454817346722"/>
      </right>
      <top/>
      <bottom style="thin">
        <color theme="5" tint="0.39997558519241921"/>
      </bottom>
      <diagonal/>
    </border>
    <border>
      <left style="thin">
        <color theme="5" tint="0.39988402966399123"/>
      </left>
      <right/>
      <top style="thin">
        <color theme="5" tint="0.39997558519241921"/>
      </top>
      <bottom style="thin">
        <color theme="5" tint="0.39997558519241921"/>
      </bottom>
      <diagonal/>
    </border>
    <border>
      <left/>
      <right style="thin">
        <color theme="5" tint="0.39988402966399123"/>
      </right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5" tint="0.39988402966399123"/>
      </left>
      <right/>
      <top/>
      <bottom style="thin">
        <color theme="5" tint="0.39997558519241921"/>
      </bottom>
      <diagonal/>
    </border>
    <border>
      <left/>
      <right style="thin">
        <color theme="5" tint="0.39988402966399123"/>
      </right>
      <top/>
      <bottom style="thin">
        <color theme="5" tint="0.39997558519241921"/>
      </bottom>
      <diagonal/>
    </border>
    <border>
      <left/>
      <right style="thin">
        <color theme="5" tint="0.39985351115451523"/>
      </right>
      <top style="thin">
        <color theme="5" tint="0.39997558519241921"/>
      </top>
      <bottom style="thin">
        <color theme="5" tint="0.39997558519241921"/>
      </bottom>
      <diagonal/>
    </border>
    <border>
      <left/>
      <right style="thin">
        <color theme="5" tint="0.39985351115451523"/>
      </right>
      <top/>
      <bottom style="thin">
        <color theme="5" tint="0.39997558519241921"/>
      </bottom>
      <diagonal/>
    </border>
    <border>
      <left style="thin">
        <color theme="5" tint="0.39991454817346722"/>
      </left>
      <right/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5" tint="0.39991454817346722"/>
      </left>
      <right/>
      <top/>
      <bottom style="thin">
        <color theme="5" tint="0.39997558519241921"/>
      </bottom>
      <diagonal/>
    </border>
    <border>
      <left/>
      <right style="thin">
        <color theme="8" tint="0.39991454817346722"/>
      </right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8" tint="0.39991454817346722"/>
      </right>
      <top/>
      <bottom style="thin">
        <color theme="8" tint="0.39997558519241921"/>
      </bottom>
      <diagonal/>
    </border>
    <border>
      <left style="thin">
        <color theme="8" tint="0.39991454817346722"/>
      </left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1454817346722"/>
      </left>
      <right/>
      <top/>
      <bottom style="thin">
        <color theme="8" tint="0.39997558519241921"/>
      </bottom>
      <diagonal/>
    </border>
    <border>
      <left/>
      <right/>
      <top style="thin">
        <color theme="7" tint="0.39991454817346722"/>
      </top>
      <bottom style="thin">
        <color theme="7" tint="0.39997558519241921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39994506668294322"/>
      </left>
      <right style="thin">
        <color theme="7" tint="0.39994506668294322"/>
      </right>
      <top/>
      <bottom style="thin">
        <color theme="7" tint="0.39997558519241921"/>
      </bottom>
      <diagonal/>
    </border>
    <border>
      <left style="thin">
        <color theme="7" tint="0.39994506668294322"/>
      </left>
      <right/>
      <top style="thin">
        <color theme="7" tint="0.39997558519241921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/>
      <top style="thin">
        <color theme="8" tint="0.39994506668294322"/>
      </top>
      <bottom style="thin">
        <color theme="8" tint="0.39997558519241921"/>
      </bottom>
      <diagonal/>
    </border>
    <border>
      <left style="thin">
        <color theme="8" tint="0.39994506668294322"/>
      </left>
      <right/>
      <top style="thin">
        <color theme="8" tint="0.39994506668294322"/>
      </top>
      <bottom style="thin">
        <color theme="8" tint="0.39997558519241921"/>
      </bottom>
      <diagonal/>
    </border>
    <border>
      <left style="thin">
        <color theme="8" tint="0.39994506668294322"/>
      </left>
      <right style="thin">
        <color theme="8" tint="0.39991454817346722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4506668294322"/>
      </left>
      <right style="thin">
        <color theme="8" tint="0.39991454817346722"/>
      </right>
      <top/>
      <bottom style="thin">
        <color theme="8" tint="0.39997558519241921"/>
      </bottom>
      <diagonal/>
    </border>
    <border>
      <left style="thin">
        <color theme="5" tint="0.39994506668294322"/>
      </left>
      <right style="thin">
        <color theme="5" tint="0.39991454817346722"/>
      </right>
      <top style="thin">
        <color theme="5" tint="0.39991454817346722"/>
      </top>
      <bottom style="thin">
        <color theme="5" tint="0.39997558519241921"/>
      </bottom>
      <diagonal/>
    </border>
    <border>
      <left style="thin">
        <color theme="5" tint="0.39994506668294322"/>
      </left>
      <right style="thin">
        <color theme="5" tint="0.39991454817346722"/>
      </right>
      <top/>
      <bottom style="thin">
        <color theme="5" tint="0.39997558519241921"/>
      </bottom>
      <diagonal/>
    </border>
    <border>
      <left style="thin">
        <color theme="5" tint="0.39994506668294322"/>
      </left>
      <right style="thin">
        <color theme="5" tint="0.39991454817346722"/>
      </right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theme="6" tint="0.39994506668294322"/>
      </top>
      <bottom style="thin">
        <color theme="6" tint="0.39997558519241921"/>
      </bottom>
      <diagonal/>
    </border>
    <border>
      <left style="thin">
        <color theme="6" tint="0.39991454817346722"/>
      </left>
      <right/>
      <top style="thin">
        <color theme="6" tint="0.39991454817346722"/>
      </top>
      <bottom style="thin">
        <color theme="6" tint="0.39991454817346722"/>
      </bottom>
      <diagonal/>
    </border>
    <border>
      <left/>
      <right/>
      <top style="thin">
        <color theme="6" tint="0.39991454817346722"/>
      </top>
      <bottom style="thin">
        <color theme="6" tint="0.39991454817346722"/>
      </bottom>
      <diagonal/>
    </border>
    <border>
      <left/>
      <right style="thin">
        <color theme="6" tint="0.39991454817346722"/>
      </right>
      <top style="thin">
        <color theme="6" tint="0.39991454817346722"/>
      </top>
      <bottom style="thin">
        <color theme="6" tint="0.39991454817346722"/>
      </bottom>
      <diagonal/>
    </border>
    <border>
      <left style="thin">
        <color theme="6" tint="0.39988402966399123"/>
      </left>
      <right/>
      <top style="thin">
        <color theme="6" tint="0.39991454817346722"/>
      </top>
      <bottom style="thin">
        <color theme="6" tint="0.39991454817346722"/>
      </bottom>
      <diagonal/>
    </border>
    <border>
      <left/>
      <right style="thin">
        <color theme="6" tint="0.39988402966399123"/>
      </right>
      <top style="thin">
        <color theme="6" tint="0.39991454817346722"/>
      </top>
      <bottom style="thin">
        <color theme="6" tint="0.39991454817346722"/>
      </bottom>
      <diagonal/>
    </border>
    <border>
      <left style="thin">
        <color theme="6" tint="0.39988402966399123"/>
      </left>
      <right/>
      <top style="thin">
        <color theme="6" tint="0.39988402966399123"/>
      </top>
      <bottom style="thin">
        <color theme="6" tint="0.39991454817346722"/>
      </bottom>
      <diagonal/>
    </border>
    <border>
      <left/>
      <right/>
      <top style="thin">
        <color theme="6" tint="0.39988402966399123"/>
      </top>
      <bottom style="thin">
        <color theme="6" tint="0.39991454817346722"/>
      </bottom>
      <diagonal/>
    </border>
    <border>
      <left/>
      <right style="thin">
        <color theme="6" tint="0.39988402966399123"/>
      </right>
      <top style="thin">
        <color theme="6" tint="0.39988402966399123"/>
      </top>
      <bottom style="thin">
        <color theme="6" tint="0.39991454817346722"/>
      </bottom>
      <diagonal/>
    </border>
    <border>
      <left/>
      <right/>
      <top style="thin">
        <color indexed="64"/>
      </top>
      <bottom/>
      <diagonal/>
    </border>
    <border>
      <left style="thin">
        <color theme="6" tint="0.39994506668294322"/>
      </left>
      <right/>
      <top style="thin">
        <color theme="6" tint="0.39994506668294322"/>
      </top>
      <bottom style="thin">
        <color theme="6" tint="0.39997558519241921"/>
      </bottom>
      <diagonal/>
    </border>
    <border>
      <left style="thin">
        <color theme="5" tint="0.39994506668294322"/>
      </left>
      <right/>
      <top style="thin">
        <color theme="5" tint="0.39997558519241921"/>
      </top>
      <bottom/>
      <diagonal/>
    </border>
    <border>
      <left/>
      <right style="thin">
        <color theme="5" tint="0.39994506668294322"/>
      </right>
      <top style="thin">
        <color theme="5" tint="0.39997558519241921"/>
      </top>
      <bottom/>
      <diagonal/>
    </border>
    <border>
      <left/>
      <right style="thin">
        <color theme="8" tint="0.39994506668294322"/>
      </right>
      <top/>
      <bottom/>
      <diagonal/>
    </border>
    <border>
      <left/>
      <right style="thin">
        <color theme="6" tint="0.39994506668294322"/>
      </right>
      <top style="thin">
        <color theme="6" tint="0.39994506668294322"/>
      </top>
      <bottom style="thin">
        <color theme="6" tint="0.39997558519241921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 style="thin">
        <color theme="7" tint="0.59996337778862885"/>
      </left>
      <right/>
      <top style="thin">
        <color theme="7" tint="0.59996337778862885"/>
      </top>
      <bottom style="thin">
        <color theme="7" tint="0.59996337778862885"/>
      </bottom>
      <diagonal/>
    </border>
    <border>
      <left/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7" tint="0.59996337778862885"/>
      </left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39994506668294322"/>
      </left>
      <right/>
      <top style="thin">
        <color theme="7" tint="0.39994506668294322"/>
      </top>
      <bottom style="thin">
        <color theme="7" tint="0.39997558519241921"/>
      </bottom>
      <diagonal/>
    </border>
    <border>
      <left/>
      <right/>
      <top style="thin">
        <color theme="7" tint="0.39994506668294322"/>
      </top>
      <bottom style="thin">
        <color theme="7" tint="0.39997558519241921"/>
      </bottom>
      <diagonal/>
    </border>
    <border>
      <left/>
      <right style="thin">
        <color theme="7" tint="0.39994506668294322"/>
      </right>
      <top style="thin">
        <color theme="7" tint="0.39994506668294322"/>
      </top>
      <bottom style="thin">
        <color theme="7" tint="0.39997558519241921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9" fillId="0" borderId="0"/>
  </cellStyleXfs>
  <cellXfs count="390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/>
    <xf numFmtId="0" fontId="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3" fillId="0" borderId="0" xfId="0" applyFont="1" applyAlignment="1">
      <alignment horizontal="center"/>
    </xf>
    <xf numFmtId="0" fontId="7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9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Protection="1">
      <protection locked="0"/>
    </xf>
    <xf numFmtId="0" fontId="12" fillId="0" borderId="0" xfId="0" applyFont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/>
      <protection locked="0"/>
    </xf>
    <xf numFmtId="0" fontId="2" fillId="0" borderId="0" xfId="0" applyFont="1" applyAlignment="1">
      <alignment horizontal="center"/>
    </xf>
    <xf numFmtId="0" fontId="16" fillId="6" borderId="7" xfId="4" applyBorder="1"/>
    <xf numFmtId="0" fontId="16" fillId="6" borderId="9" xfId="4" applyBorder="1"/>
    <xf numFmtId="0" fontId="16" fillId="6" borderId="9" xfId="4" applyBorder="1" applyAlignment="1">
      <alignment horizontal="center"/>
    </xf>
    <xf numFmtId="0" fontId="16" fillId="3" borderId="13" xfId="1" applyBorder="1"/>
    <xf numFmtId="0" fontId="16" fillId="3" borderId="15" xfId="1" applyBorder="1"/>
    <xf numFmtId="0" fontId="16" fillId="3" borderId="15" xfId="1" applyBorder="1" applyAlignment="1">
      <alignment horizontal="center"/>
    </xf>
    <xf numFmtId="0" fontId="1" fillId="0" borderId="0" xfId="0" applyFont="1" applyAlignment="1">
      <alignment vertical="center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6" fillId="4" borderId="21" xfId="2" applyBorder="1" applyAlignment="1">
      <alignment horizontal="center"/>
    </xf>
    <xf numFmtId="0" fontId="16" fillId="4" borderId="27" xfId="2" applyBorder="1" applyAlignment="1">
      <alignment horizontal="center"/>
    </xf>
    <xf numFmtId="0" fontId="16" fillId="4" borderId="28" xfId="2" applyBorder="1" applyAlignment="1">
      <alignment horizontal="center"/>
    </xf>
    <xf numFmtId="0" fontId="16" fillId="5" borderId="1" xfId="3" applyBorder="1"/>
    <xf numFmtId="0" fontId="16" fillId="5" borderId="3" xfId="3" applyBorder="1"/>
    <xf numFmtId="0" fontId="16" fillId="5" borderId="3" xfId="3" applyBorder="1" applyAlignment="1">
      <alignment horizontal="center"/>
    </xf>
    <xf numFmtId="0" fontId="16" fillId="5" borderId="29" xfId="3" applyBorder="1"/>
    <xf numFmtId="0" fontId="16" fillId="5" borderId="30" xfId="3" applyBorder="1"/>
    <xf numFmtId="0" fontId="16" fillId="5" borderId="31" xfId="3" applyBorder="1"/>
    <xf numFmtId="0" fontId="16" fillId="5" borderId="32" xfId="3" applyBorder="1"/>
    <xf numFmtId="0" fontId="16" fillId="6" borderId="33" xfId="4" applyBorder="1"/>
    <xf numFmtId="0" fontId="16" fillId="6" borderId="34" xfId="4" applyBorder="1"/>
    <xf numFmtId="0" fontId="16" fillId="6" borderId="35" xfId="4" applyBorder="1"/>
    <xf numFmtId="0" fontId="16" fillId="6" borderId="36" xfId="4" applyBorder="1"/>
    <xf numFmtId="0" fontId="16" fillId="6" borderId="35" xfId="4" applyBorder="1" applyAlignment="1">
      <alignment horizontal="center"/>
    </xf>
    <xf numFmtId="0" fontId="16" fillId="6" borderId="36" xfId="4" applyBorder="1" applyAlignment="1">
      <alignment horizontal="center"/>
    </xf>
    <xf numFmtId="0" fontId="16" fillId="3" borderId="37" xfId="1" applyBorder="1"/>
    <xf numFmtId="0" fontId="16" fillId="3" borderId="38" xfId="1" applyBorder="1"/>
    <xf numFmtId="0" fontId="16" fillId="3" borderId="39" xfId="1" applyBorder="1"/>
    <xf numFmtId="0" fontId="16" fillId="3" borderId="40" xfId="1" applyBorder="1"/>
    <xf numFmtId="0" fontId="16" fillId="3" borderId="39" xfId="1" applyBorder="1" applyAlignment="1">
      <alignment horizontal="center"/>
    </xf>
    <xf numFmtId="0" fontId="16" fillId="3" borderId="40" xfId="1" applyBorder="1" applyAlignment="1">
      <alignment horizontal="center"/>
    </xf>
    <xf numFmtId="0" fontId="1" fillId="0" borderId="0" xfId="0" applyFont="1" applyAlignment="1">
      <alignment horizontal="left"/>
    </xf>
    <xf numFmtId="0" fontId="0" fillId="2" borderId="0" xfId="0" applyFill="1" applyAlignment="1">
      <alignment vertical="center"/>
    </xf>
    <xf numFmtId="0" fontId="16" fillId="4" borderId="21" xfId="2" applyBorder="1" applyAlignment="1">
      <alignment horizontal="left"/>
    </xf>
    <xf numFmtId="0" fontId="16" fillId="4" borderId="27" xfId="2" applyBorder="1" applyAlignment="1">
      <alignment horizontal="left"/>
    </xf>
    <xf numFmtId="0" fontId="16" fillId="4" borderId="28" xfId="2" applyBorder="1" applyAlignment="1">
      <alignment horizontal="left"/>
    </xf>
    <xf numFmtId="0" fontId="0" fillId="0" borderId="0" xfId="0" applyAlignment="1">
      <alignment horizontal="left"/>
    </xf>
    <xf numFmtId="0" fontId="16" fillId="4" borderId="19" xfId="2" applyBorder="1" applyAlignment="1">
      <alignment horizontal="left"/>
    </xf>
    <xf numFmtId="0" fontId="16" fillId="4" borderId="25" xfId="2" applyBorder="1" applyAlignment="1">
      <alignment horizontal="left"/>
    </xf>
    <xf numFmtId="0" fontId="16" fillId="4" borderId="26" xfId="2" applyBorder="1" applyAlignment="1">
      <alignment horizontal="left"/>
    </xf>
    <xf numFmtId="0" fontId="25" fillId="0" borderId="0" xfId="0" applyFont="1"/>
    <xf numFmtId="0" fontId="26" fillId="0" borderId="0" xfId="0" applyFont="1"/>
    <xf numFmtId="0" fontId="16" fillId="6" borderId="41" xfId="4" applyBorder="1"/>
    <xf numFmtId="0" fontId="1" fillId="0" borderId="0" xfId="0" applyFont="1" applyAlignment="1">
      <alignment horizontal="center" vertical="top"/>
    </xf>
    <xf numFmtId="0" fontId="16" fillId="5" borderId="0" xfId="3" applyBorder="1" applyAlignment="1">
      <alignment horizontal="center"/>
    </xf>
    <xf numFmtId="0" fontId="16" fillId="5" borderId="43" xfId="3" applyBorder="1" applyAlignment="1">
      <alignment horizontal="center"/>
    </xf>
    <xf numFmtId="0" fontId="16" fillId="5" borderId="44" xfId="3" applyBorder="1" applyAlignment="1">
      <alignment horizontal="center"/>
    </xf>
    <xf numFmtId="0" fontId="16" fillId="5" borderId="45" xfId="3" applyBorder="1" applyAlignment="1">
      <alignment horizontal="center"/>
    </xf>
    <xf numFmtId="0" fontId="1" fillId="0" borderId="0" xfId="0" applyFont="1" applyAlignment="1">
      <alignment horizontal="left" vertical="top"/>
    </xf>
    <xf numFmtId="0" fontId="0" fillId="2" borderId="0" xfId="0" applyFill="1"/>
    <xf numFmtId="0" fontId="16" fillId="5" borderId="46" xfId="3" applyBorder="1"/>
    <xf numFmtId="0" fontId="9" fillId="0" borderId="0" xfId="0" applyFont="1" applyAlignment="1" applyProtection="1">
      <alignment horizontal="center"/>
      <protection locked="0"/>
    </xf>
    <xf numFmtId="0" fontId="28" fillId="0" borderId="0" xfId="0" applyFont="1" applyAlignment="1">
      <alignment horizontal="center"/>
    </xf>
    <xf numFmtId="0" fontId="30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29" fillId="0" borderId="0" xfId="0" applyFont="1"/>
    <xf numFmtId="0" fontId="33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16" fillId="8" borderId="13" xfId="1" applyFill="1" applyBorder="1"/>
    <xf numFmtId="0" fontId="16" fillId="8" borderId="37" xfId="1" applyFill="1" applyBorder="1"/>
    <xf numFmtId="0" fontId="16" fillId="8" borderId="38" xfId="1" applyFill="1" applyBorder="1"/>
    <xf numFmtId="0" fontId="16" fillId="8" borderId="15" xfId="1" applyFill="1" applyBorder="1"/>
    <xf numFmtId="0" fontId="16" fillId="8" borderId="39" xfId="1" applyFill="1" applyBorder="1"/>
    <xf numFmtId="0" fontId="16" fillId="8" borderId="40" xfId="1" applyFill="1" applyBorder="1"/>
    <xf numFmtId="0" fontId="16" fillId="8" borderId="15" xfId="1" applyFill="1" applyBorder="1" applyAlignment="1">
      <alignment horizontal="center"/>
    </xf>
    <xf numFmtId="0" fontId="16" fillId="8" borderId="39" xfId="1" applyFill="1" applyBorder="1" applyAlignment="1">
      <alignment horizontal="center"/>
    </xf>
    <xf numFmtId="0" fontId="16" fillId="8" borderId="40" xfId="1" applyFill="1" applyBorder="1" applyAlignment="1">
      <alignment horizontal="center"/>
    </xf>
    <xf numFmtId="0" fontId="36" fillId="0" borderId="0" xfId="0" applyFont="1" applyAlignment="1" applyProtection="1">
      <alignment horizontal="center"/>
      <protection locked="0"/>
    </xf>
    <xf numFmtId="0" fontId="37" fillId="0" borderId="0" xfId="0" applyFont="1" applyAlignment="1" applyProtection="1">
      <alignment horizontal="center"/>
      <protection locked="0"/>
    </xf>
    <xf numFmtId="0" fontId="37" fillId="0" borderId="0" xfId="0" applyFont="1" applyAlignment="1" applyProtection="1">
      <alignment horizontal="center" vertical="center"/>
      <protection locked="0"/>
    </xf>
    <xf numFmtId="0" fontId="16" fillId="9" borderId="19" xfId="2" applyFill="1" applyBorder="1" applyAlignment="1">
      <alignment horizontal="left"/>
    </xf>
    <xf numFmtId="0" fontId="16" fillId="9" borderId="25" xfId="2" applyFill="1" applyBorder="1" applyAlignment="1">
      <alignment horizontal="left"/>
    </xf>
    <xf numFmtId="0" fontId="16" fillId="9" borderId="26" xfId="2" applyFill="1" applyBorder="1" applyAlignment="1">
      <alignment horizontal="left"/>
    </xf>
    <xf numFmtId="0" fontId="16" fillId="9" borderId="21" xfId="2" applyFill="1" applyBorder="1" applyAlignment="1">
      <alignment horizontal="left"/>
    </xf>
    <xf numFmtId="0" fontId="16" fillId="9" borderId="27" xfId="2" applyFill="1" applyBorder="1" applyAlignment="1">
      <alignment horizontal="left"/>
    </xf>
    <xf numFmtId="0" fontId="16" fillId="9" borderId="28" xfId="2" applyFill="1" applyBorder="1" applyAlignment="1">
      <alignment horizontal="left"/>
    </xf>
    <xf numFmtId="0" fontId="16" fillId="9" borderId="21" xfId="2" applyFill="1" applyBorder="1" applyAlignment="1">
      <alignment horizontal="center"/>
    </xf>
    <xf numFmtId="0" fontId="16" fillId="9" borderId="27" xfId="2" applyFill="1" applyBorder="1" applyAlignment="1">
      <alignment horizontal="center"/>
    </xf>
    <xf numFmtId="0" fontId="16" fillId="9" borderId="28" xfId="2" applyFill="1" applyBorder="1" applyAlignment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/>
      <protection locked="0"/>
    </xf>
    <xf numFmtId="0" fontId="38" fillId="0" borderId="0" xfId="0" applyFont="1"/>
    <xf numFmtId="0" fontId="39" fillId="0" borderId="0" xfId="0" applyFont="1"/>
    <xf numFmtId="0" fontId="16" fillId="5" borderId="47" xfId="3" applyBorder="1"/>
    <xf numFmtId="0" fontId="16" fillId="5" borderId="48" xfId="3" applyBorder="1"/>
    <xf numFmtId="0" fontId="16" fillId="5" borderId="49" xfId="3" applyBorder="1" applyAlignment="1">
      <alignment horizontal="center"/>
    </xf>
    <xf numFmtId="0" fontId="16" fillId="5" borderId="50" xfId="3" applyBorder="1"/>
    <xf numFmtId="0" fontId="16" fillId="5" borderId="51" xfId="3" applyBorder="1"/>
    <xf numFmtId="0" fontId="16" fillId="5" borderId="52" xfId="3" applyBorder="1"/>
    <xf numFmtId="0" fontId="16" fillId="5" borderId="53" xfId="3" applyBorder="1"/>
    <xf numFmtId="0" fontId="16" fillId="5" borderId="54" xfId="3" applyBorder="1" applyAlignment="1">
      <alignment horizontal="center"/>
    </xf>
    <xf numFmtId="0" fontId="16" fillId="5" borderId="55" xfId="3" applyBorder="1" applyAlignment="1">
      <alignment horizontal="center"/>
    </xf>
    <xf numFmtId="0" fontId="16" fillId="9" borderId="56" xfId="2" applyFill="1" applyBorder="1" applyAlignment="1">
      <alignment horizontal="left"/>
    </xf>
    <xf numFmtId="0" fontId="16" fillId="9" borderId="57" xfId="2" applyFill="1" applyBorder="1" applyAlignment="1">
      <alignment horizontal="left"/>
    </xf>
    <xf numFmtId="0" fontId="16" fillId="9" borderId="57" xfId="2" applyFill="1" applyBorder="1" applyAlignment="1">
      <alignment horizontal="center"/>
    </xf>
    <xf numFmtId="0" fontId="16" fillId="4" borderId="56" xfId="2" applyBorder="1" applyAlignment="1">
      <alignment horizontal="left"/>
    </xf>
    <xf numFmtId="0" fontId="16" fillId="4" borderId="57" xfId="2" applyBorder="1" applyAlignment="1">
      <alignment horizontal="left"/>
    </xf>
    <xf numFmtId="0" fontId="16" fillId="4" borderId="57" xfId="2" applyBorder="1" applyAlignment="1">
      <alignment horizontal="center"/>
    </xf>
    <xf numFmtId="0" fontId="16" fillId="8" borderId="60" xfId="1" applyFill="1" applyBorder="1"/>
    <xf numFmtId="0" fontId="16" fillId="8" borderId="61" xfId="1" applyFill="1" applyBorder="1"/>
    <xf numFmtId="0" fontId="16" fillId="8" borderId="62" xfId="1" applyFill="1" applyBorder="1"/>
    <xf numFmtId="0" fontId="16" fillId="8" borderId="63" xfId="1" applyFill="1" applyBorder="1"/>
    <xf numFmtId="0" fontId="16" fillId="8" borderId="62" xfId="1" applyFill="1" applyBorder="1" applyAlignment="1">
      <alignment horizontal="center"/>
    </xf>
    <xf numFmtId="0" fontId="16" fillId="8" borderId="63" xfId="1" applyFill="1" applyBorder="1" applyAlignment="1">
      <alignment horizontal="center"/>
    </xf>
    <xf numFmtId="0" fontId="16" fillId="8" borderId="64" xfId="1" applyFill="1" applyBorder="1"/>
    <xf numFmtId="0" fontId="16" fillId="8" borderId="65" xfId="1" applyFill="1" applyBorder="1"/>
    <xf numFmtId="0" fontId="16" fillId="8" borderId="65" xfId="1" applyFill="1" applyBorder="1" applyAlignment="1">
      <alignment horizontal="center"/>
    </xf>
    <xf numFmtId="0" fontId="16" fillId="3" borderId="58" xfId="1" applyBorder="1"/>
    <xf numFmtId="0" fontId="16" fillId="3" borderId="59" xfId="1" applyBorder="1"/>
    <xf numFmtId="0" fontId="16" fillId="3" borderId="59" xfId="1" applyBorder="1" applyAlignment="1">
      <alignment horizontal="center"/>
    </xf>
    <xf numFmtId="0" fontId="16" fillId="3" borderId="66" xfId="1" applyBorder="1"/>
    <xf numFmtId="0" fontId="16" fillId="3" borderId="61" xfId="1" applyBorder="1"/>
    <xf numFmtId="0" fontId="16" fillId="3" borderId="67" xfId="1" applyBorder="1"/>
    <xf numFmtId="0" fontId="16" fillId="3" borderId="63" xfId="1" applyBorder="1"/>
    <xf numFmtId="0" fontId="16" fillId="3" borderId="67" xfId="1" applyBorder="1" applyAlignment="1">
      <alignment horizontal="center"/>
    </xf>
    <xf numFmtId="0" fontId="16" fillId="3" borderId="63" xfId="1" applyBorder="1" applyAlignment="1">
      <alignment horizontal="center"/>
    </xf>
    <xf numFmtId="0" fontId="16" fillId="3" borderId="60" xfId="1" applyBorder="1"/>
    <xf numFmtId="0" fontId="16" fillId="3" borderId="64" xfId="1" applyBorder="1"/>
    <xf numFmtId="0" fontId="16" fillId="3" borderId="62" xfId="1" applyBorder="1"/>
    <xf numFmtId="0" fontId="16" fillId="3" borderId="65" xfId="1" applyBorder="1"/>
    <xf numFmtId="0" fontId="16" fillId="3" borderId="62" xfId="1" applyBorder="1" applyAlignment="1">
      <alignment horizontal="center"/>
    </xf>
    <xf numFmtId="0" fontId="16" fillId="3" borderId="65" xfId="1" applyBorder="1" applyAlignment="1">
      <alignment horizontal="center"/>
    </xf>
    <xf numFmtId="0" fontId="16" fillId="6" borderId="68" xfId="4" applyBorder="1"/>
    <xf numFmtId="0" fontId="16" fillId="6" borderId="69" xfId="4" applyBorder="1"/>
    <xf numFmtId="0" fontId="16" fillId="6" borderId="69" xfId="4" applyBorder="1" applyAlignment="1">
      <alignment horizontal="center"/>
    </xf>
    <xf numFmtId="0" fontId="16" fillId="6" borderId="70" xfId="4" applyBorder="1"/>
    <xf numFmtId="0" fontId="16" fillId="6" borderId="71" xfId="4" applyBorder="1"/>
    <xf numFmtId="0" fontId="16" fillId="6" borderId="71" xfId="4" applyBorder="1" applyAlignment="1">
      <alignment horizontal="center"/>
    </xf>
    <xf numFmtId="0" fontId="41" fillId="5" borderId="3" xfId="3" applyFont="1" applyBorder="1"/>
    <xf numFmtId="0" fontId="16" fillId="5" borderId="6" xfId="3" applyBorder="1" applyAlignment="1">
      <alignment horizontal="center"/>
    </xf>
    <xf numFmtId="0" fontId="16" fillId="5" borderId="72" xfId="3" applyBorder="1"/>
    <xf numFmtId="0" fontId="16" fillId="5" borderId="73" xfId="3" applyBorder="1"/>
    <xf numFmtId="0" fontId="16" fillId="5" borderId="74" xfId="3" applyBorder="1"/>
    <xf numFmtId="0" fontId="16" fillId="5" borderId="75" xfId="3" applyBorder="1" applyAlignment="1">
      <alignment horizontal="center"/>
    </xf>
    <xf numFmtId="0" fontId="16" fillId="7" borderId="76" xfId="3" applyFill="1" applyBorder="1"/>
    <xf numFmtId="0" fontId="16" fillId="7" borderId="77" xfId="3" applyFill="1" applyBorder="1"/>
    <xf numFmtId="0" fontId="16" fillId="7" borderId="78" xfId="3" applyFill="1" applyBorder="1"/>
    <xf numFmtId="0" fontId="16" fillId="7" borderId="79" xfId="3" applyFill="1" applyBorder="1"/>
    <xf numFmtId="0" fontId="16" fillId="7" borderId="79" xfId="3" applyFill="1" applyBorder="1" applyAlignment="1">
      <alignment horizontal="center"/>
    </xf>
    <xf numFmtId="0" fontId="16" fillId="7" borderId="78" xfId="3" applyFill="1" applyBorder="1" applyAlignment="1">
      <alignment horizontal="center"/>
    </xf>
    <xf numFmtId="0" fontId="16" fillId="7" borderId="76" xfId="3" applyFill="1" applyBorder="1" applyAlignment="1">
      <alignment horizontal="center"/>
    </xf>
    <xf numFmtId="0" fontId="16" fillId="7" borderId="77" xfId="3" applyFill="1" applyBorder="1" applyAlignment="1">
      <alignment horizontal="center"/>
    </xf>
    <xf numFmtId="0" fontId="40" fillId="7" borderId="79" xfId="3" applyFont="1" applyFill="1" applyBorder="1"/>
    <xf numFmtId="0" fontId="42" fillId="7" borderId="79" xfId="3" applyFont="1" applyFill="1" applyBorder="1"/>
    <xf numFmtId="0" fontId="41" fillId="7" borderId="76" xfId="3" applyFont="1" applyFill="1" applyBorder="1"/>
    <xf numFmtId="0" fontId="42" fillId="7" borderId="78" xfId="3" applyFont="1" applyFill="1" applyBorder="1"/>
    <xf numFmtId="0" fontId="42" fillId="7" borderId="77" xfId="3" applyFont="1" applyFill="1" applyBorder="1"/>
    <xf numFmtId="0" fontId="16" fillId="6" borderId="85" xfId="4" applyBorder="1"/>
    <xf numFmtId="0" fontId="41" fillId="6" borderId="9" xfId="4" applyFont="1" applyBorder="1"/>
    <xf numFmtId="0" fontId="42" fillId="6" borderId="9" xfId="4" applyFont="1" applyBorder="1"/>
    <xf numFmtId="0" fontId="42" fillId="6" borderId="35" xfId="4" applyFont="1" applyBorder="1"/>
    <xf numFmtId="0" fontId="16" fillId="6" borderId="86" xfId="4" applyBorder="1"/>
    <xf numFmtId="0" fontId="16" fillId="6" borderId="87" xfId="4" applyBorder="1"/>
    <xf numFmtId="0" fontId="16" fillId="6" borderId="88" xfId="4" applyBorder="1" applyAlignment="1">
      <alignment horizontal="center"/>
    </xf>
    <xf numFmtId="0" fontId="42" fillId="6" borderId="36" xfId="4" applyFont="1" applyBorder="1"/>
    <xf numFmtId="0" fontId="42" fillId="6" borderId="88" xfId="4" applyFont="1" applyBorder="1"/>
    <xf numFmtId="0" fontId="42" fillId="3" borderId="15" xfId="1" applyFont="1" applyBorder="1"/>
    <xf numFmtId="0" fontId="42" fillId="3" borderId="39" xfId="1" applyFont="1" applyBorder="1"/>
    <xf numFmtId="0" fontId="42" fillId="3" borderId="40" xfId="1" applyFont="1" applyBorder="1"/>
    <xf numFmtId="0" fontId="16" fillId="3" borderId="89" xfId="1" applyBorder="1"/>
    <xf numFmtId="0" fontId="42" fillId="3" borderId="90" xfId="1" applyFont="1" applyBorder="1"/>
    <xf numFmtId="0" fontId="16" fillId="3" borderId="13" xfId="1" applyBorder="1" applyAlignment="1">
      <alignment horizontal="center"/>
    </xf>
    <xf numFmtId="0" fontId="16" fillId="3" borderId="37" xfId="1" applyBorder="1" applyAlignment="1">
      <alignment horizontal="center"/>
    </xf>
    <xf numFmtId="0" fontId="16" fillId="3" borderId="38" xfId="1" applyBorder="1" applyAlignment="1">
      <alignment horizontal="center"/>
    </xf>
    <xf numFmtId="0" fontId="16" fillId="3" borderId="91" xfId="1" applyBorder="1" applyAlignment="1">
      <alignment horizontal="center"/>
    </xf>
    <xf numFmtId="0" fontId="16" fillId="8" borderId="89" xfId="1" applyFill="1" applyBorder="1"/>
    <xf numFmtId="0" fontId="42" fillId="8" borderId="15" xfId="1" applyFont="1" applyFill="1" applyBorder="1"/>
    <xf numFmtId="0" fontId="42" fillId="8" borderId="39" xfId="1" applyFont="1" applyFill="1" applyBorder="1"/>
    <xf numFmtId="0" fontId="42" fillId="8" borderId="40" xfId="1" applyFont="1" applyFill="1" applyBorder="1"/>
    <xf numFmtId="0" fontId="42" fillId="8" borderId="90" xfId="1" applyFont="1" applyFill="1" applyBorder="1"/>
    <xf numFmtId="0" fontId="16" fillId="8" borderId="13" xfId="1" applyFill="1" applyBorder="1" applyAlignment="1">
      <alignment horizontal="center"/>
    </xf>
    <xf numFmtId="0" fontId="16" fillId="8" borderId="37" xfId="1" applyFill="1" applyBorder="1" applyAlignment="1">
      <alignment horizontal="center"/>
    </xf>
    <xf numFmtId="0" fontId="16" fillId="8" borderId="38" xfId="1" applyFill="1" applyBorder="1" applyAlignment="1">
      <alignment horizontal="center"/>
    </xf>
    <xf numFmtId="0" fontId="16" fillId="8" borderId="91" xfId="1" applyFill="1" applyBorder="1" applyAlignment="1">
      <alignment horizontal="center"/>
    </xf>
    <xf numFmtId="0" fontId="16" fillId="4" borderId="92" xfId="2" applyBorder="1" applyAlignment="1">
      <alignment horizontal="left"/>
    </xf>
    <xf numFmtId="0" fontId="16" fillId="10" borderId="93" xfId="4" applyFill="1" applyBorder="1"/>
    <xf numFmtId="0" fontId="16" fillId="10" borderId="94" xfId="4" applyFill="1" applyBorder="1"/>
    <xf numFmtId="0" fontId="16" fillId="10" borderId="95" xfId="4" applyFill="1" applyBorder="1"/>
    <xf numFmtId="0" fontId="42" fillId="10" borderId="93" xfId="4" applyFont="1" applyFill="1" applyBorder="1"/>
    <xf numFmtId="0" fontId="42" fillId="10" borderId="94" xfId="4" applyFont="1" applyFill="1" applyBorder="1"/>
    <xf numFmtId="0" fontId="41" fillId="10" borderId="94" xfId="4" applyFont="1" applyFill="1" applyBorder="1"/>
    <xf numFmtId="0" fontId="42" fillId="10" borderId="95" xfId="4" applyFont="1" applyFill="1" applyBorder="1"/>
    <xf numFmtId="0" fontId="16" fillId="10" borderId="93" xfId="4" applyFill="1" applyBorder="1" applyAlignment="1">
      <alignment horizontal="center"/>
    </xf>
    <xf numFmtId="0" fontId="16" fillId="10" borderId="94" xfId="4" applyFill="1" applyBorder="1" applyAlignment="1">
      <alignment horizontal="center"/>
    </xf>
    <xf numFmtId="0" fontId="16" fillId="10" borderId="95" xfId="4" applyFill="1" applyBorder="1" applyAlignment="1">
      <alignment horizontal="center"/>
    </xf>
    <xf numFmtId="0" fontId="16" fillId="10" borderId="96" xfId="4" applyFill="1" applyBorder="1"/>
    <xf numFmtId="0" fontId="16" fillId="10" borderId="97" xfId="4" applyFill="1" applyBorder="1"/>
    <xf numFmtId="0" fontId="42" fillId="10" borderId="96" xfId="4" applyFont="1" applyFill="1" applyBorder="1"/>
    <xf numFmtId="0" fontId="16" fillId="10" borderId="96" xfId="4" applyFill="1" applyBorder="1" applyAlignment="1">
      <alignment horizontal="center"/>
    </xf>
    <xf numFmtId="0" fontId="16" fillId="10" borderId="97" xfId="4" applyFill="1" applyBorder="1" applyAlignment="1">
      <alignment horizontal="center"/>
    </xf>
    <xf numFmtId="0" fontId="16" fillId="10" borderId="98" xfId="4" applyFill="1" applyBorder="1"/>
    <xf numFmtId="0" fontId="16" fillId="10" borderId="99" xfId="4" applyFill="1" applyBorder="1"/>
    <xf numFmtId="0" fontId="16" fillId="10" borderId="100" xfId="4" applyFill="1" applyBorder="1"/>
    <xf numFmtId="0" fontId="42" fillId="10" borderId="97" xfId="4" applyFont="1" applyFill="1" applyBorder="1"/>
    <xf numFmtId="0" fontId="16" fillId="9" borderId="92" xfId="2" applyFill="1" applyBorder="1" applyAlignment="1">
      <alignment horizontal="left"/>
    </xf>
    <xf numFmtId="0" fontId="16" fillId="9" borderId="93" xfId="4" applyFill="1" applyBorder="1"/>
    <xf numFmtId="0" fontId="16" fillId="9" borderId="94" xfId="4" applyFill="1" applyBorder="1"/>
    <xf numFmtId="0" fontId="16" fillId="9" borderId="96" xfId="4" applyFill="1" applyBorder="1"/>
    <xf numFmtId="0" fontId="16" fillId="9" borderId="97" xfId="4" applyFill="1" applyBorder="1"/>
    <xf numFmtId="0" fontId="16" fillId="9" borderId="98" xfId="4" applyFill="1" applyBorder="1"/>
    <xf numFmtId="0" fontId="16" fillId="9" borderId="99" xfId="4" applyFill="1" applyBorder="1"/>
    <xf numFmtId="0" fontId="16" fillId="9" borderId="100" xfId="4" applyFill="1" applyBorder="1"/>
    <xf numFmtId="0" fontId="16" fillId="9" borderId="95" xfId="4" applyFill="1" applyBorder="1"/>
    <xf numFmtId="0" fontId="42" fillId="9" borderId="93" xfId="4" applyFont="1" applyFill="1" applyBorder="1"/>
    <xf numFmtId="0" fontId="42" fillId="9" borderId="96" xfId="4" applyFont="1" applyFill="1" applyBorder="1"/>
    <xf numFmtId="0" fontId="42" fillId="9" borderId="94" xfId="4" applyFont="1" applyFill="1" applyBorder="1"/>
    <xf numFmtId="0" fontId="41" fillId="9" borderId="94" xfId="4" applyFont="1" applyFill="1" applyBorder="1"/>
    <xf numFmtId="0" fontId="42" fillId="9" borderId="97" xfId="4" applyFont="1" applyFill="1" applyBorder="1"/>
    <xf numFmtId="0" fontId="42" fillId="9" borderId="95" xfId="4" applyFont="1" applyFill="1" applyBorder="1"/>
    <xf numFmtId="0" fontId="16" fillId="9" borderId="93" xfId="4" applyFill="1" applyBorder="1" applyAlignment="1">
      <alignment horizontal="center"/>
    </xf>
    <xf numFmtId="0" fontId="16" fillId="9" borderId="94" xfId="4" applyFill="1" applyBorder="1" applyAlignment="1">
      <alignment horizontal="center"/>
    </xf>
    <xf numFmtId="0" fontId="16" fillId="9" borderId="96" xfId="4" applyFill="1" applyBorder="1" applyAlignment="1">
      <alignment horizontal="center"/>
    </xf>
    <xf numFmtId="0" fontId="16" fillId="9" borderId="97" xfId="4" applyFill="1" applyBorder="1" applyAlignment="1">
      <alignment horizontal="center"/>
    </xf>
    <xf numFmtId="0" fontId="16" fillId="9" borderId="95" xfId="4" applyFill="1" applyBorder="1" applyAlignment="1">
      <alignment horizontal="center"/>
    </xf>
    <xf numFmtId="0" fontId="1" fillId="0" borderId="101" xfId="0" applyFont="1" applyBorder="1" applyAlignment="1">
      <alignment horizontal="center"/>
    </xf>
    <xf numFmtId="0" fontId="1" fillId="0" borderId="101" xfId="0" applyFont="1" applyBorder="1" applyAlignment="1">
      <alignment horizontal="left"/>
    </xf>
    <xf numFmtId="0" fontId="0" fillId="0" borderId="101" xfId="0" applyBorder="1" applyAlignment="1">
      <alignment horizontal="center"/>
    </xf>
    <xf numFmtId="0" fontId="9" fillId="0" borderId="101" xfId="0" applyFont="1" applyBorder="1"/>
    <xf numFmtId="0" fontId="0" fillId="0" borderId="101" xfId="0" applyBorder="1"/>
    <xf numFmtId="0" fontId="0" fillId="0" borderId="101" xfId="0" applyBorder="1" applyAlignment="1">
      <alignment vertical="center"/>
    </xf>
    <xf numFmtId="0" fontId="1" fillId="0" borderId="101" xfId="0" applyFont="1" applyBorder="1"/>
    <xf numFmtId="0" fontId="1" fillId="0" borderId="101" xfId="0" applyFont="1" applyBorder="1" applyAlignment="1">
      <alignment horizontal="center" vertical="top"/>
    </xf>
    <xf numFmtId="0" fontId="0" fillId="2" borderId="101" xfId="0" applyFill="1" applyBorder="1" applyAlignment="1">
      <alignment vertical="center"/>
    </xf>
    <xf numFmtId="0" fontId="42" fillId="5" borderId="42" xfId="3" applyFont="1" applyBorder="1"/>
    <xf numFmtId="0" fontId="9" fillId="0" borderId="101" xfId="0" applyFont="1" applyBorder="1" applyAlignment="1">
      <alignment horizontal="center"/>
    </xf>
    <xf numFmtId="0" fontId="16" fillId="4" borderId="102" xfId="2" applyBorder="1" applyAlignment="1">
      <alignment horizontal="left"/>
    </xf>
    <xf numFmtId="0" fontId="16" fillId="9" borderId="102" xfId="2" applyFill="1" applyBorder="1" applyAlignment="1">
      <alignment horizontal="left"/>
    </xf>
    <xf numFmtId="0" fontId="16" fillId="4" borderId="0" xfId="2" applyBorder="1" applyAlignment="1">
      <alignment horizontal="center"/>
    </xf>
    <xf numFmtId="0" fontId="16" fillId="6" borderId="0" xfId="4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16" fillId="3" borderId="103" xfId="1" applyBorder="1" applyAlignment="1">
      <alignment horizontal="center"/>
    </xf>
    <xf numFmtId="0" fontId="16" fillId="3" borderId="18" xfId="1" applyBorder="1" applyAlignment="1">
      <alignment horizontal="center"/>
    </xf>
    <xf numFmtId="0" fontId="16" fillId="3" borderId="104" xfId="1" applyBorder="1" applyAlignment="1">
      <alignment horizontal="center"/>
    </xf>
    <xf numFmtId="0" fontId="16" fillId="6" borderId="105" xfId="4" applyBorder="1" applyAlignment="1">
      <alignment horizontal="center"/>
    </xf>
    <xf numFmtId="0" fontId="16" fillId="9" borderId="106" xfId="2" applyFill="1" applyBorder="1" applyAlignment="1">
      <alignment horizontal="left"/>
    </xf>
    <xf numFmtId="0" fontId="42" fillId="9" borderId="21" xfId="2" applyFont="1" applyFill="1" applyBorder="1" applyAlignment="1">
      <alignment horizontal="left"/>
    </xf>
    <xf numFmtId="0" fontId="42" fillId="4" borderId="21" xfId="2" applyFont="1" applyBorder="1" applyAlignment="1">
      <alignment horizontal="left"/>
    </xf>
    <xf numFmtId="0" fontId="41" fillId="7" borderId="79" xfId="3" applyFont="1" applyFill="1" applyBorder="1"/>
    <xf numFmtId="0" fontId="42" fillId="5" borderId="3" xfId="3" applyFont="1" applyBorder="1"/>
    <xf numFmtId="0" fontId="14" fillId="0" borderId="0" xfId="0" applyFont="1"/>
    <xf numFmtId="0" fontId="17" fillId="0" borderId="0" xfId="0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17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46" fillId="0" borderId="0" xfId="0" applyFont="1" applyAlignment="1">
      <alignment horizontal="center"/>
    </xf>
    <xf numFmtId="0" fontId="43" fillId="0" borderId="0" xfId="0" applyFont="1"/>
    <xf numFmtId="0" fontId="16" fillId="7" borderId="80" xfId="3" applyFill="1" applyBorder="1" applyAlignment="1">
      <alignment horizontal="center"/>
    </xf>
    <xf numFmtId="0" fontId="16" fillId="7" borderId="81" xfId="3" applyFill="1" applyBorder="1" applyAlignment="1">
      <alignment horizontal="center"/>
    </xf>
    <xf numFmtId="0" fontId="16" fillId="7" borderId="107" xfId="3" applyFill="1" applyBorder="1" applyAlignment="1">
      <alignment horizontal="center"/>
    </xf>
    <xf numFmtId="0" fontId="16" fillId="5" borderId="108" xfId="3" applyBorder="1"/>
    <xf numFmtId="0" fontId="16" fillId="5" borderId="109" xfId="3" applyBorder="1"/>
    <xf numFmtId="0" fontId="16" fillId="5" borderId="110" xfId="3" applyBorder="1"/>
    <xf numFmtId="0" fontId="16" fillId="5" borderId="111" xfId="3" applyBorder="1"/>
    <xf numFmtId="0" fontId="16" fillId="5" borderId="112" xfId="3" applyBorder="1" applyAlignment="1">
      <alignment horizontal="center"/>
    </xf>
    <xf numFmtId="0" fontId="16" fillId="5" borderId="113" xfId="3" applyBorder="1" applyAlignment="1">
      <alignment horizontal="center"/>
    </xf>
    <xf numFmtId="0" fontId="16" fillId="5" borderId="31" xfId="3" applyBorder="1" applyAlignment="1">
      <alignment horizontal="center"/>
    </xf>
    <xf numFmtId="0" fontId="16" fillId="5" borderId="32" xfId="3" applyBorder="1" applyAlignment="1">
      <alignment horizontal="center"/>
    </xf>
    <xf numFmtId="0" fontId="16" fillId="4" borderId="106" xfId="2" applyBorder="1" applyAlignment="1">
      <alignment horizontal="left"/>
    </xf>
    <xf numFmtId="0" fontId="42" fillId="5" borderId="31" xfId="3" applyFont="1" applyBorder="1"/>
    <xf numFmtId="0" fontId="40" fillId="5" borderId="3" xfId="3" applyFont="1" applyBorder="1"/>
    <xf numFmtId="0" fontId="16" fillId="5" borderId="114" xfId="3" applyBorder="1"/>
    <xf numFmtId="0" fontId="16" fillId="5" borderId="115" xfId="3" applyBorder="1"/>
    <xf numFmtId="0" fontId="16" fillId="5" borderId="116" xfId="3" applyBorder="1"/>
    <xf numFmtId="0" fontId="41" fillId="7" borderId="78" xfId="3" applyFont="1" applyFill="1" applyBorder="1"/>
    <xf numFmtId="0" fontId="40" fillId="6" borderId="9" xfId="4" applyFont="1" applyBorder="1"/>
    <xf numFmtId="0" fontId="40" fillId="3" borderId="15" xfId="1" applyFont="1" applyBorder="1"/>
    <xf numFmtId="0" fontId="40" fillId="8" borderId="15" xfId="1" applyFont="1" applyFill="1" applyBorder="1"/>
    <xf numFmtId="0" fontId="42" fillId="4" borderId="27" xfId="2" applyFont="1" applyBorder="1" applyAlignment="1">
      <alignment horizontal="left"/>
    </xf>
    <xf numFmtId="0" fontId="40" fillId="4" borderId="21" xfId="2" applyFont="1" applyBorder="1" applyAlignment="1">
      <alignment horizontal="left"/>
    </xf>
    <xf numFmtId="0" fontId="42" fillId="9" borderId="27" xfId="2" applyFont="1" applyFill="1" applyBorder="1" applyAlignment="1">
      <alignment horizontal="left"/>
    </xf>
    <xf numFmtId="0" fontId="40" fillId="9" borderId="21" xfId="2" applyFont="1" applyFill="1" applyBorder="1" applyAlignment="1">
      <alignment horizontal="left"/>
    </xf>
    <xf numFmtId="0" fontId="9" fillId="0" borderId="0" xfId="0" applyFont="1" applyAlignment="1">
      <alignment vertical="center"/>
    </xf>
    <xf numFmtId="0" fontId="14" fillId="11" borderId="0" xfId="0" applyFont="1" applyFill="1" applyAlignment="1">
      <alignment horizontal="center"/>
    </xf>
    <xf numFmtId="0" fontId="25" fillId="0" borderId="0" xfId="0" applyFont="1" applyAlignment="1">
      <alignment horizontal="left"/>
    </xf>
    <xf numFmtId="0" fontId="0" fillId="0" borderId="117" xfId="0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5" fillId="5" borderId="6" xfId="3" applyFont="1" applyBorder="1" applyAlignment="1">
      <alignment horizontal="center" vertical="center" wrapText="1"/>
    </xf>
    <xf numFmtId="0" fontId="15" fillId="5" borderId="0" xfId="3" applyFont="1" applyBorder="1" applyAlignment="1">
      <alignment horizontal="center" vertical="center" wrapText="1"/>
    </xf>
    <xf numFmtId="0" fontId="15" fillId="5" borderId="3" xfId="3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5" fillId="5" borderId="4" xfId="3" applyFont="1" applyBorder="1" applyAlignment="1">
      <alignment horizontal="center" vertical="center"/>
    </xf>
    <xf numFmtId="0" fontId="15" fillId="5" borderId="5" xfId="3" applyFont="1" applyBorder="1" applyAlignment="1">
      <alignment horizontal="center" vertical="center"/>
    </xf>
    <xf numFmtId="0" fontId="15" fillId="5" borderId="2" xfId="3" applyFont="1" applyBorder="1" applyAlignment="1">
      <alignment horizontal="center" vertical="center"/>
    </xf>
    <xf numFmtId="0" fontId="15" fillId="7" borderId="80" xfId="3" applyFont="1" applyFill="1" applyBorder="1" applyAlignment="1">
      <alignment horizontal="center" vertical="center" wrapText="1"/>
    </xf>
    <xf numFmtId="0" fontId="15" fillId="7" borderId="0" xfId="3" applyFont="1" applyFill="1" applyBorder="1" applyAlignment="1">
      <alignment horizontal="center" vertical="center" wrapText="1"/>
    </xf>
    <xf numFmtId="0" fontId="15" fillId="7" borderId="84" xfId="3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5" fillId="7" borderId="81" xfId="3" applyFont="1" applyFill="1" applyBorder="1" applyAlignment="1">
      <alignment horizontal="center" vertical="center"/>
    </xf>
    <xf numFmtId="0" fontId="15" fillId="7" borderId="82" xfId="3" applyFont="1" applyFill="1" applyBorder="1" applyAlignment="1">
      <alignment horizontal="center" vertical="center"/>
    </xf>
    <xf numFmtId="0" fontId="15" fillId="7" borderId="83" xfId="3" applyFont="1" applyFill="1" applyBorder="1" applyAlignment="1">
      <alignment horizontal="center" vertical="center"/>
    </xf>
    <xf numFmtId="0" fontId="15" fillId="7" borderId="80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84" xfId="3" applyFont="1" applyFill="1" applyBorder="1" applyAlignment="1">
      <alignment horizontal="center" vertical="center"/>
    </xf>
    <xf numFmtId="0" fontId="15" fillId="6" borderId="12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9" xfId="4" applyFont="1" applyBorder="1" applyAlignment="1">
      <alignment horizontal="center" vertical="center"/>
    </xf>
    <xf numFmtId="0" fontId="15" fillId="6" borderId="12" xfId="4" applyFont="1" applyBorder="1" applyAlignment="1">
      <alignment horizontal="center" vertical="center" wrapText="1"/>
    </xf>
    <xf numFmtId="0" fontId="15" fillId="6" borderId="0" xfId="4" applyFont="1" applyBorder="1" applyAlignment="1">
      <alignment horizontal="center" vertical="center" wrapText="1"/>
    </xf>
    <xf numFmtId="0" fontId="15" fillId="6" borderId="9" xfId="4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6" borderId="10" xfId="4" applyFont="1" applyBorder="1" applyAlignment="1">
      <alignment horizontal="center" vertical="center"/>
    </xf>
    <xf numFmtId="0" fontId="15" fillId="6" borderId="11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15" fillId="3" borderId="18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5" xfId="1" applyFont="1" applyBorder="1" applyAlignment="1">
      <alignment horizontal="center" vertical="center"/>
    </xf>
    <xf numFmtId="0" fontId="15" fillId="3" borderId="18" xfId="1" applyFont="1" applyBorder="1" applyAlignment="1">
      <alignment horizontal="center" vertical="center" wrapText="1"/>
    </xf>
    <xf numFmtId="0" fontId="15" fillId="3" borderId="0" xfId="1" applyFont="1" applyBorder="1" applyAlignment="1">
      <alignment horizontal="center" vertical="center" wrapText="1"/>
    </xf>
    <xf numFmtId="0" fontId="15" fillId="3" borderId="15" xfId="1" applyFont="1" applyBorder="1" applyAlignment="1">
      <alignment horizontal="center" vertical="center" wrapText="1"/>
    </xf>
    <xf numFmtId="0" fontId="22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0" fontId="15" fillId="3" borderId="16" xfId="1" applyFont="1" applyBorder="1" applyAlignment="1">
      <alignment horizontal="center" vertical="center"/>
    </xf>
    <xf numFmtId="0" fontId="15" fillId="3" borderId="17" xfId="1" applyFont="1" applyBorder="1" applyAlignment="1">
      <alignment horizontal="center" vertical="center"/>
    </xf>
    <xf numFmtId="0" fontId="15" fillId="3" borderId="14" xfId="1" applyFont="1" applyBorder="1" applyAlignment="1">
      <alignment horizontal="center" vertical="center"/>
    </xf>
    <xf numFmtId="0" fontId="15" fillId="8" borderId="18" xfId="1" applyFont="1" applyFill="1" applyBorder="1" applyAlignment="1">
      <alignment horizontal="center" vertical="center" wrapText="1"/>
    </xf>
    <xf numFmtId="0" fontId="15" fillId="8" borderId="0" xfId="1" applyFont="1" applyFill="1" applyBorder="1" applyAlignment="1">
      <alignment horizontal="center" vertical="center" wrapText="1"/>
    </xf>
    <xf numFmtId="0" fontId="15" fillId="8" borderId="15" xfId="1" applyFont="1" applyFill="1" applyBorder="1" applyAlignment="1">
      <alignment horizontal="center" vertical="center" wrapText="1"/>
    </xf>
    <xf numFmtId="0" fontId="27" fillId="0" borderId="0" xfId="0" applyFont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/>
      <protection locked="0"/>
    </xf>
    <xf numFmtId="0" fontId="34" fillId="0" borderId="0" xfId="0" applyFont="1" applyAlignment="1" applyProtection="1">
      <alignment horizontal="center"/>
      <protection locked="0"/>
    </xf>
    <xf numFmtId="0" fontId="15" fillId="8" borderId="16" xfId="1" applyFont="1" applyFill="1" applyBorder="1" applyAlignment="1">
      <alignment horizontal="center" vertical="center"/>
    </xf>
    <xf numFmtId="0" fontId="15" fillId="8" borderId="17" xfId="1" applyFont="1" applyFill="1" applyBorder="1" applyAlignment="1">
      <alignment horizontal="center" vertical="center"/>
    </xf>
    <xf numFmtId="0" fontId="15" fillId="8" borderId="14" xfId="1" applyFont="1" applyFill="1" applyBorder="1" applyAlignment="1">
      <alignment horizontal="center" vertical="center"/>
    </xf>
    <xf numFmtId="0" fontId="15" fillId="8" borderId="18" xfId="1" applyFont="1" applyFill="1" applyBorder="1" applyAlignment="1">
      <alignment horizontal="center" vertical="center"/>
    </xf>
    <xf numFmtId="0" fontId="15" fillId="8" borderId="0" xfId="1" applyFont="1" applyFill="1" applyBorder="1" applyAlignment="1">
      <alignment horizontal="center" vertical="center"/>
    </xf>
    <xf numFmtId="0" fontId="15" fillId="8" borderId="15" xfId="1" applyFont="1" applyFill="1" applyBorder="1" applyAlignment="1">
      <alignment horizontal="center" vertical="center"/>
    </xf>
    <xf numFmtId="0" fontId="21" fillId="0" borderId="0" xfId="0" applyFont="1" applyAlignment="1" applyProtection="1">
      <alignment horizontal="center"/>
      <protection locked="0"/>
    </xf>
    <xf numFmtId="0" fontId="15" fillId="4" borderId="24" xfId="2" applyFont="1" applyBorder="1" applyAlignment="1">
      <alignment horizontal="center" vertical="center"/>
    </xf>
    <xf numFmtId="0" fontId="15" fillId="4" borderId="0" xfId="2" applyFont="1" applyBorder="1" applyAlignment="1">
      <alignment horizontal="center" vertical="center"/>
    </xf>
    <xf numFmtId="0" fontId="15" fillId="4" borderId="21" xfId="2" applyFont="1" applyBorder="1" applyAlignment="1">
      <alignment horizontal="center" vertical="center"/>
    </xf>
    <xf numFmtId="0" fontId="15" fillId="4" borderId="24" xfId="2" applyFont="1" applyBorder="1" applyAlignment="1">
      <alignment horizontal="center" vertical="center" wrapText="1"/>
    </xf>
    <xf numFmtId="0" fontId="15" fillId="4" borderId="0" xfId="2" applyFont="1" applyBorder="1" applyAlignment="1">
      <alignment horizontal="center" vertical="center" wrapText="1"/>
    </xf>
    <xf numFmtId="0" fontId="15" fillId="4" borderId="21" xfId="2" applyFont="1" applyBorder="1" applyAlignment="1">
      <alignment horizontal="center" vertical="center" wrapText="1"/>
    </xf>
    <xf numFmtId="0" fontId="15" fillId="4" borderId="22" xfId="2" applyFont="1" applyBorder="1" applyAlignment="1">
      <alignment horizontal="center" vertical="center"/>
    </xf>
    <xf numFmtId="0" fontId="15" fillId="4" borderId="23" xfId="2" applyFont="1" applyBorder="1" applyAlignment="1">
      <alignment horizontal="center" vertical="center"/>
    </xf>
    <xf numFmtId="0" fontId="15" fillId="4" borderId="20" xfId="2" applyFont="1" applyBorder="1" applyAlignment="1">
      <alignment horizontal="center" vertical="center"/>
    </xf>
    <xf numFmtId="0" fontId="15" fillId="9" borderId="24" xfId="2" applyFont="1" applyFill="1" applyBorder="1" applyAlignment="1">
      <alignment horizontal="center" vertical="center" wrapText="1"/>
    </xf>
    <xf numFmtId="0" fontId="15" fillId="9" borderId="0" xfId="2" applyFont="1" applyFill="1" applyBorder="1" applyAlignment="1">
      <alignment horizontal="center" vertical="center" wrapText="1"/>
    </xf>
    <xf numFmtId="0" fontId="15" fillId="9" borderId="21" xfId="2" applyFont="1" applyFill="1" applyBorder="1" applyAlignment="1">
      <alignment horizontal="center" vertical="center" wrapText="1"/>
    </xf>
    <xf numFmtId="0" fontId="35" fillId="0" borderId="0" xfId="0" applyFont="1" applyAlignment="1" applyProtection="1">
      <alignment horizontal="center"/>
      <protection locked="0"/>
    </xf>
    <xf numFmtId="0" fontId="15" fillId="9" borderId="22" xfId="2" applyFont="1" applyFill="1" applyBorder="1" applyAlignment="1">
      <alignment horizontal="center" vertical="center"/>
    </xf>
    <xf numFmtId="0" fontId="15" fillId="9" borderId="23" xfId="2" applyFont="1" applyFill="1" applyBorder="1" applyAlignment="1">
      <alignment horizontal="center" vertical="center"/>
    </xf>
    <xf numFmtId="0" fontId="15" fillId="9" borderId="20" xfId="2" applyFont="1" applyFill="1" applyBorder="1" applyAlignment="1">
      <alignment horizontal="center" vertical="center"/>
    </xf>
    <xf numFmtId="0" fontId="15" fillId="9" borderId="24" xfId="2" applyFont="1" applyFill="1" applyBorder="1" applyAlignment="1">
      <alignment horizontal="center" vertical="center"/>
    </xf>
    <xf numFmtId="0" fontId="15" fillId="9" borderId="0" xfId="2" applyFont="1" applyFill="1" applyBorder="1" applyAlignment="1">
      <alignment horizontal="center" vertical="center"/>
    </xf>
    <xf numFmtId="0" fontId="15" fillId="9" borderId="21" xfId="2" applyFont="1" applyFill="1" applyBorder="1" applyAlignment="1">
      <alignment horizontal="center" vertical="center"/>
    </xf>
    <xf numFmtId="0" fontId="46" fillId="0" borderId="0" xfId="0" applyFont="1" applyBorder="1"/>
    <xf numFmtId="0" fontId="0" fillId="0" borderId="0" xfId="0" applyNumberFormat="1" applyAlignment="1">
      <alignment horizontal="center"/>
    </xf>
    <xf numFmtId="0" fontId="46" fillId="0" borderId="0" xfId="0" applyFont="1" applyBorder="1" applyAlignment="1">
      <alignment horizontal="center"/>
    </xf>
  </cellXfs>
  <cellStyles count="6">
    <cellStyle name="Normálne" xfId="0" builtinId="0"/>
    <cellStyle name="Normálne 2" xfId="5"/>
    <cellStyle name="Zvýraznenie2" xfId="1" builtinId="33"/>
    <cellStyle name="Zvýraznenie3" xfId="2" builtinId="37"/>
    <cellStyle name="Zvýraznenie4" xfId="3" builtinId="41"/>
    <cellStyle name="Zvýraznenie5" xfId="4" builtinId="45"/>
  </cellStyles>
  <dxfs count="2829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top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601980</xdr:colOff>
      <xdr:row>47</xdr:row>
      <xdr:rowOff>121920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503" t="14594" r="43493" b="7618"/>
        <a:stretch/>
      </xdr:blipFill>
      <xdr:spPr>
        <a:xfrm>
          <a:off x="0" y="0"/>
          <a:ext cx="5852160" cy="800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114300</xdr:rowOff>
    </xdr:from>
    <xdr:to>
      <xdr:col>7</xdr:col>
      <xdr:colOff>594360</xdr:colOff>
      <xdr:row>86</xdr:row>
      <xdr:rowOff>160020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669" t="20077" r="43368" b="12656"/>
        <a:stretch/>
      </xdr:blipFill>
      <xdr:spPr>
        <a:xfrm>
          <a:off x="0" y="7658100"/>
          <a:ext cx="5844540" cy="6918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83820</xdr:rowOff>
    </xdr:from>
    <xdr:to>
      <xdr:col>7</xdr:col>
      <xdr:colOff>594360</xdr:colOff>
      <xdr:row>122</xdr:row>
      <xdr:rowOff>213360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4628" t="24151" r="43409" b="7322"/>
        <a:stretch/>
      </xdr:blipFill>
      <xdr:spPr>
        <a:xfrm>
          <a:off x="0" y="14165580"/>
          <a:ext cx="5844540" cy="70485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1" name="Tabuľka11" displayName="Tabuľka11" ref="A8:LF86" headerRowCount="0" totalsRowShown="0">
  <tableColumns count="318">
    <tableColumn id="1" name="Stĺpec1" dataDxfId="2828"/>
    <tableColumn id="2" name="Stĺpec2" dataDxfId="2827"/>
    <tableColumn id="3" name="Stĺpec3" dataDxfId="2826"/>
    <tableColumn id="4" name="Stĺpec4"/>
    <tableColumn id="5" name="Stĺpec5" dataDxfId="2825"/>
    <tableColumn id="6" name="Stĺpec6" dataDxfId="2824"/>
    <tableColumn id="7" name="Stĺpec7"/>
    <tableColumn id="8" name="Stĺpec8" dataDxfId="2823"/>
    <tableColumn id="9" name="Stĺpec9" dataDxfId="2822"/>
    <tableColumn id="10" name="Stĺpec10" dataDxfId="2821"/>
    <tableColumn id="11" name="Stĺpec11" dataDxfId="2820"/>
    <tableColumn id="12" name="Stĺpec12" dataDxfId="2819"/>
    <tableColumn id="13" name="Stĺpec13" dataDxfId="2818"/>
    <tableColumn id="14" name="Stĺpec14" dataDxfId="2817"/>
    <tableColumn id="15" name="Stĺpec15" dataDxfId="2816"/>
    <tableColumn id="16" name="Stĺpec16" dataDxfId="2815"/>
    <tableColumn id="17" name="Stĺpec17" dataDxfId="2814"/>
    <tableColumn id="18" name="Stĺpec18" dataDxfId="2813"/>
    <tableColumn id="19" name="Stĺpec19" dataDxfId="2812"/>
    <tableColumn id="20" name="Stĺpec20" dataDxfId="2811"/>
    <tableColumn id="21" name="Stĺpec21" dataDxfId="2810"/>
    <tableColumn id="22" name="Stĺpec22" dataDxfId="2809"/>
    <tableColumn id="23" name="Stĺpec23" dataDxfId="2808"/>
    <tableColumn id="24" name="Stĺpec24" dataDxfId="2807"/>
    <tableColumn id="25" name="Stĺpec25" dataDxfId="2806"/>
    <tableColumn id="26" name="Stĺpec26" dataDxfId="2805"/>
    <tableColumn id="27" name="Stĺpec27" dataDxfId="2804"/>
    <tableColumn id="28" name="Stĺpec28" dataDxfId="2803"/>
    <tableColumn id="29" name="Stĺpec29" dataDxfId="2802"/>
    <tableColumn id="30" name="Stĺpec30" dataDxfId="2801"/>
    <tableColumn id="31" name="Stĺpec31" dataDxfId="2800"/>
    <tableColumn id="32" name="Stĺpec32" dataDxfId="2799"/>
    <tableColumn id="33" name="Stĺpec33" dataDxfId="2798"/>
    <tableColumn id="34" name="Stĺpec34" dataDxfId="2797"/>
    <tableColumn id="35" name="Stĺpec35" dataDxfId="2796"/>
    <tableColumn id="36" name="Stĺpec36" dataDxfId="2795"/>
    <tableColumn id="37" name="Stĺpec37" dataDxfId="2794"/>
    <tableColumn id="38" name="Stĺpec38" dataDxfId="2793"/>
    <tableColumn id="39" name="Stĺpec39" dataDxfId="2792"/>
    <tableColumn id="40" name="Stĺpec40" dataDxfId="2791"/>
    <tableColumn id="41" name="Stĺpec41" dataDxfId="2790"/>
    <tableColumn id="42" name="Stĺpec42" dataDxfId="2789"/>
    <tableColumn id="43" name="Stĺpec43" dataDxfId="2788"/>
    <tableColumn id="44" name="Stĺpec44" dataDxfId="2787"/>
    <tableColumn id="45" name="Stĺpec45" dataDxfId="2786"/>
    <tableColumn id="46" name="Stĺpec46" dataDxfId="2785"/>
    <tableColumn id="47" name="Stĺpec47" dataDxfId="2784"/>
    <tableColumn id="48" name="Stĺpec48" dataDxfId="2783"/>
    <tableColumn id="49" name="Stĺpec49" dataDxfId="2782"/>
    <tableColumn id="51" name="Stĺpec51" dataDxfId="2781"/>
    <tableColumn id="52" name="Stĺpec52" dataDxfId="2780"/>
    <tableColumn id="53" name="Stĺpec53" dataDxfId="2779"/>
    <tableColumn id="54" name="Stĺpec54" dataDxfId="2778"/>
    <tableColumn id="55" name="Stĺpec55" dataDxfId="2777"/>
    <tableColumn id="56" name="Stĺpec56" dataDxfId="2776"/>
    <tableColumn id="57" name="Stĺpec57" dataDxfId="2775"/>
    <tableColumn id="58" name="Stĺpec58" dataDxfId="2774"/>
    <tableColumn id="59" name="Stĺpec59" dataDxfId="2773"/>
    <tableColumn id="60" name="Stĺpec60" dataDxfId="2772"/>
    <tableColumn id="61" name="Stĺpec61" dataDxfId="2771"/>
    <tableColumn id="62" name="Stĺpec62" dataDxfId="2770"/>
    <tableColumn id="63" name="Stĺpec63" dataDxfId="2769"/>
    <tableColumn id="64" name="Stĺpec64" dataDxfId="2768"/>
    <tableColumn id="65" name="Stĺpec65" dataDxfId="2767"/>
    <tableColumn id="66" name="Stĺpec66" dataDxfId="2766"/>
    <tableColumn id="67" name="Stĺpec67" dataDxfId="2765"/>
    <tableColumn id="68" name="Stĺpec68" dataDxfId="2764"/>
    <tableColumn id="69" name="Stĺpec69" dataDxfId="2763"/>
    <tableColumn id="70" name="Stĺpec70" dataDxfId="2762"/>
    <tableColumn id="71" name="Stĺpec71" dataDxfId="2761"/>
    <tableColumn id="72" name="Stĺpec72" dataDxfId="2760"/>
    <tableColumn id="73" name="Stĺpec73" dataDxfId="2759"/>
    <tableColumn id="74" name="Stĺpec74" dataDxfId="2758"/>
    <tableColumn id="75" name="Stĺpec75" dataDxfId="2757"/>
    <tableColumn id="76" name="Stĺpec76" dataDxfId="2756"/>
    <tableColumn id="77" name="Stĺpec77" dataDxfId="2755"/>
    <tableColumn id="78" name="Stĺpec78" dataDxfId="2754"/>
    <tableColumn id="79" name="Stĺpec79" dataDxfId="2753"/>
    <tableColumn id="80" name="Stĺpec80" dataDxfId="2752"/>
    <tableColumn id="81" name="Stĺpec81" dataDxfId="2751"/>
    <tableColumn id="82" name="Stĺpec82" dataDxfId="2750"/>
    <tableColumn id="83" name="Stĺpec83" dataDxfId="2749"/>
    <tableColumn id="84" name="Stĺpec84" dataDxfId="2748"/>
    <tableColumn id="85" name="Stĺpec85" dataDxfId="2747"/>
    <tableColumn id="317" name="Stĺpec317" dataDxfId="2746"/>
    <tableColumn id="94" name="Stĺpec94" dataDxfId="2745"/>
    <tableColumn id="318" name="Stĺpec318" dataDxfId="2744"/>
    <tableColumn id="50" name="Stĺpec50" dataDxfId="2743"/>
    <tableColumn id="86" name="Stĺpec86" dataDxfId="2742"/>
    <tableColumn id="87" name="Stĺpec87" dataDxfId="2741"/>
    <tableColumn id="88" name="Stĺpec88" dataDxfId="2740"/>
    <tableColumn id="89" name="Stĺpec89" dataDxfId="2739"/>
    <tableColumn id="90" name="Stĺpec90" dataDxfId="2738"/>
    <tableColumn id="91" name="Stĺpec91" dataDxfId="2737"/>
    <tableColumn id="92" name="Stĺpec92" dataDxfId="2736"/>
    <tableColumn id="93" name="Stĺpec93" dataDxfId="2735"/>
    <tableColumn id="95" name="Stĺpec95" dataDxfId="2734"/>
    <tableColumn id="96" name="Stĺpec96" dataDxfId="2733"/>
    <tableColumn id="97" name="Stĺpec97" dataDxfId="2732"/>
    <tableColumn id="98" name="Stĺpec98" dataDxfId="2731"/>
    <tableColumn id="99" name="Stĺpec99" dataDxfId="2730"/>
    <tableColumn id="100" name="Stĺpec100" dataDxfId="2729"/>
    <tableColumn id="101" name="Stĺpec101" dataDxfId="2728"/>
    <tableColumn id="102" name="Stĺpec102" dataDxfId="2727"/>
    <tableColumn id="103" name="Stĺpec103" dataDxfId="2726"/>
    <tableColumn id="104" name="Stĺpec104" dataDxfId="2725"/>
    <tableColumn id="105" name="Stĺpec105" dataDxfId="2724"/>
    <tableColumn id="106" name="Stĺpec106" dataDxfId="2723"/>
    <tableColumn id="107" name="Stĺpec107" dataDxfId="2722"/>
    <tableColumn id="108" name="Stĺpec108" dataDxfId="2721"/>
    <tableColumn id="109" name="Stĺpec109" dataDxfId="2720"/>
    <tableColumn id="110" name="Stĺpec110" dataDxfId="2719"/>
    <tableColumn id="111" name="Stĺpec111" dataDxfId="2718"/>
    <tableColumn id="112" name="Stĺpec112" dataDxfId="2717"/>
    <tableColumn id="113" name="Stĺpec113" dataDxfId="2716"/>
    <tableColumn id="114" name="Stĺpec114" dataDxfId="2715"/>
    <tableColumn id="115" name="Stĺpec115" dataDxfId="2714"/>
    <tableColumn id="116" name="Stĺpec116" dataDxfId="2713"/>
    <tableColumn id="117" name="Stĺpec117" dataDxfId="2712"/>
    <tableColumn id="118" name="Stĺpec118" dataDxfId="2711"/>
    <tableColumn id="119" name="Stĺpec119" dataDxfId="2710"/>
    <tableColumn id="120" name="Stĺpec120" dataDxfId="2709"/>
    <tableColumn id="121" name="Stĺpec121" dataDxfId="2708"/>
    <tableColumn id="122" name="Stĺpec122" dataDxfId="2707"/>
    <tableColumn id="123" name="Stĺpec123" dataDxfId="2706"/>
    <tableColumn id="124" name="Stĺpec124" dataDxfId="2705"/>
    <tableColumn id="125" name="Stĺpec125" dataDxfId="2704"/>
    <tableColumn id="126" name="Stĺpec126" dataDxfId="2703"/>
    <tableColumn id="235" name="Stĺpec234" dataDxfId="2702"/>
    <tableColumn id="234" name="Stĺpec233" dataDxfId="2701"/>
    <tableColumn id="127" name="Stĺpec127" dataDxfId="2700"/>
    <tableColumn id="128" name="Stĺpec128" dataDxfId="2699"/>
    <tableColumn id="129" name="Stĺpec129" dataDxfId="2698"/>
    <tableColumn id="130" name="Stĺpec130" dataDxfId="2697"/>
    <tableColumn id="131" name="Stĺpec131" dataDxfId="2696"/>
    <tableColumn id="132" name="Stĺpec132" dataDxfId="2695"/>
    <tableColumn id="133" name="Stĺpec133" dataDxfId="2694"/>
    <tableColumn id="134" name="Stĺpec134" dataDxfId="2693"/>
    <tableColumn id="135" name="Stĺpec135" dataDxfId="2692"/>
    <tableColumn id="136" name="Stĺpec136" dataDxfId="2691"/>
    <tableColumn id="137" name="Stĺpec137" dataDxfId="2690"/>
    <tableColumn id="190" name="Stĺpec189" dataDxfId="2689"/>
    <tableColumn id="189" name="Stĺpec188" dataDxfId="2688"/>
    <tableColumn id="188" name="Stĺpec187" dataDxfId="2687"/>
    <tableColumn id="187" name="Stĺpec186" dataDxfId="2686"/>
    <tableColumn id="186" name="Stĺpec185" dataDxfId="2685"/>
    <tableColumn id="185" name="Stĺpec184" dataDxfId="2684"/>
    <tableColumn id="183" name="Stĺpec183" dataDxfId="2683"/>
    <tableColumn id="192" name="Stĺpec191" dataDxfId="2682"/>
    <tableColumn id="191" name="Stĺpec190" dataDxfId="2681"/>
    <tableColumn id="138" name="Stĺpec138" dataDxfId="2680"/>
    <tableColumn id="139" name="Stĺpec139" dataDxfId="2679"/>
    <tableColumn id="140" name="Stĺpec140" dataDxfId="2678"/>
    <tableColumn id="141" name="Stĺpec141" dataDxfId="2677"/>
    <tableColumn id="142" name="Stĺpec142" dataDxfId="2676"/>
    <tableColumn id="143" name="Stĺpec143" dataDxfId="2675"/>
    <tableColumn id="144" name="Stĺpec144" dataDxfId="2674"/>
    <tableColumn id="145" name="Stĺpec145" dataDxfId="2673"/>
    <tableColumn id="146" name="Stĺpec146" dataDxfId="2672"/>
    <tableColumn id="147" name="Stĺpec147" dataDxfId="2671"/>
    <tableColumn id="148" name="Stĺpec148" dataDxfId="2670"/>
    <tableColumn id="149" name="Stĺpec149" dataDxfId="2669"/>
    <tableColumn id="150" name="Stĺpec150" dataDxfId="2668"/>
    <tableColumn id="151" name="Stĺpec151" dataDxfId="2667"/>
    <tableColumn id="152" name="Stĺpec152" dataDxfId="2666"/>
    <tableColumn id="153" name="Stĺpec153" dataDxfId="2665"/>
    <tableColumn id="154" name="Stĺpec154" dataDxfId="2664"/>
    <tableColumn id="155" name="Stĺpec155" dataDxfId="2663"/>
    <tableColumn id="156" name="Stĺpec156" dataDxfId="2662"/>
    <tableColumn id="157" name="Stĺpec157" dataDxfId="2661"/>
    <tableColumn id="158" name="Stĺpec158" dataDxfId="2660"/>
    <tableColumn id="159" name="Stĺpec159" dataDxfId="2659"/>
    <tableColumn id="160" name="Stĺpec160" dataDxfId="2658"/>
    <tableColumn id="161" name="Stĺpec161" dataDxfId="2657"/>
    <tableColumn id="162" name="Stĺpec162" dataDxfId="2656"/>
    <tableColumn id="163" name="Stĺpec163" dataDxfId="2655"/>
    <tableColumn id="164" name="Stĺpec164" dataDxfId="2654"/>
    <tableColumn id="165" name="Stĺpec165" dataDxfId="2653"/>
    <tableColumn id="166" name="Stĺpec166" dataDxfId="2652"/>
    <tableColumn id="167" name="Stĺpec167" dataDxfId="2651"/>
    <tableColumn id="168" name="Stĺpec168" dataDxfId="2650"/>
    <tableColumn id="169" name="Stĺpec169" dataDxfId="2649"/>
    <tableColumn id="170" name="Stĺpec170" dataDxfId="2648"/>
    <tableColumn id="171" name="Stĺpec171" dataDxfId="2647"/>
    <tableColumn id="172" name="Stĺpec172" dataDxfId="2646"/>
    <tableColumn id="173" name="Stĺpec173" dataDxfId="2645"/>
    <tableColumn id="201" name="Stĺpec201" dataDxfId="2644"/>
    <tableColumn id="200" name="Stĺpec200" dataDxfId="2643"/>
    <tableColumn id="223" name="Stĺpec222" dataDxfId="2642"/>
    <tableColumn id="222" name="Stĺpec221" dataDxfId="2641"/>
    <tableColumn id="221" name="Stĺpec220" dataDxfId="2640"/>
    <tableColumn id="220" name="Stĺpec219" dataDxfId="2639"/>
    <tableColumn id="219" name="Stĺpec218" dataDxfId="2638"/>
    <tableColumn id="218" name="Stĺpec217" dataDxfId="2637"/>
    <tableColumn id="217" name="Stĺpec216" dataDxfId="2636"/>
    <tableColumn id="215" name="Stĺpec215" dataDxfId="2635"/>
    <tableColumn id="214" name="Stĺpec214" dataDxfId="2634"/>
    <tableColumn id="213" name="Stĺpec213" dataDxfId="2633"/>
    <tableColumn id="212" name="Stĺpec212" dataDxfId="2632"/>
    <tableColumn id="211" name="Stĺpec211" dataDxfId="2631"/>
    <tableColumn id="210" name="Stĺpec210" dataDxfId="2630"/>
    <tableColumn id="209" name="Stĺpec209" dataDxfId="2629"/>
    <tableColumn id="208" name="Stĺpec208" dataDxfId="2628"/>
    <tableColumn id="207" name="Stĺpec207" dataDxfId="2627"/>
    <tableColumn id="206" name="Stĺpec206" dataDxfId="2626"/>
    <tableColumn id="205" name="Stĺpec205" dataDxfId="2625"/>
    <tableColumn id="204" name="Stĺpec204" dataDxfId="2624"/>
    <tableColumn id="203" name="Stĺpec203" dataDxfId="2623"/>
    <tableColumn id="202" name="Stĺpec202" dataDxfId="2622"/>
    <tableColumn id="199" name="Stĺpec199" dataDxfId="2621"/>
    <tableColumn id="198" name="Stĺpec198" dataDxfId="2620"/>
    <tableColumn id="197" name="Stĺpec197" dataDxfId="2619"/>
    <tableColumn id="196" name="Stĺpec196" dataDxfId="2618"/>
    <tableColumn id="195" name="Stĺpec195" dataDxfId="2617"/>
    <tableColumn id="194" name="Stĺpec194" dataDxfId="2616"/>
    <tableColumn id="193" name="Stĺpec193" dataDxfId="2615"/>
    <tableColumn id="184" name="Stĺpec192" dataDxfId="2614"/>
    <tableColumn id="182" name="Stĺpec182" dataDxfId="2613"/>
    <tableColumn id="174" name="Stĺpec174" dataDxfId="2612"/>
    <tableColumn id="175" name="Stĺpec175" dataDxfId="2611"/>
    <tableColumn id="181" name="Stĺpec181" dataDxfId="2610"/>
    <tableColumn id="176" name="Stĺpec176" dataDxfId="2609"/>
    <tableColumn id="233" name="Stĺpec232" dataDxfId="2608"/>
    <tableColumn id="232" name="Stĺpec231" dataDxfId="2607"/>
    <tableColumn id="231" name="Stĺpec230" dataDxfId="2606"/>
    <tableColumn id="278" name="Stĺpec278" dataDxfId="2605"/>
    <tableColumn id="277" name="Stĺpec277" dataDxfId="2604"/>
    <tableColumn id="276" name="Stĺpec276" dataDxfId="2603"/>
    <tableColumn id="275" name="Stĺpec275" dataDxfId="2602"/>
    <tableColumn id="274" name="Stĺpec274" dataDxfId="2601"/>
    <tableColumn id="273" name="Stĺpec273" dataDxfId="2600"/>
    <tableColumn id="272" name="Stĺpec272" dataDxfId="2599"/>
    <tableColumn id="271" name="Stĺpec271" dataDxfId="2598"/>
    <tableColumn id="270" name="Stĺpec270" dataDxfId="2597"/>
    <tableColumn id="269" name="Stĺpec269" dataDxfId="2596"/>
    <tableColumn id="268" name="Stĺpec268" dataDxfId="2595"/>
    <tableColumn id="267" name="Stĺpec267" dataDxfId="2594"/>
    <tableColumn id="266" name="Stĺpec266" dataDxfId="2593"/>
    <tableColumn id="265" name="Stĺpec265" dataDxfId="2592"/>
    <tableColumn id="264" name="Stĺpec264" dataDxfId="2591"/>
    <tableColumn id="263" name="Stĺpec263" dataDxfId="2590"/>
    <tableColumn id="262" name="Stĺpec262" dataDxfId="2589"/>
    <tableColumn id="261" name="Stĺpec261" dataDxfId="2588"/>
    <tableColumn id="260" name="Stĺpec260" dataDxfId="2587"/>
    <tableColumn id="259" name="Stĺpec259" dataDxfId="2586"/>
    <tableColumn id="258" name="Stĺpec258" dataDxfId="2585"/>
    <tableColumn id="257" name="Stĺpec257" dataDxfId="2584"/>
    <tableColumn id="256" name="Stĺpec256" dataDxfId="2583"/>
    <tableColumn id="255" name="Stĺpec255" dataDxfId="2582"/>
    <tableColumn id="254" name="Stĺpec254" dataDxfId="2581"/>
    <tableColumn id="253" name="Stĺpec253" dataDxfId="2580"/>
    <tableColumn id="252" name="Stĺpec252" dataDxfId="2579"/>
    <tableColumn id="251" name="Stĺpec251" dataDxfId="2578"/>
    <tableColumn id="250" name="Stĺpec250" dataDxfId="2577"/>
    <tableColumn id="249" name="Stĺpec249" dataDxfId="2576"/>
    <tableColumn id="248" name="Stĺpec248" dataDxfId="2575"/>
    <tableColumn id="247" name="Stĺpec247" dataDxfId="2574"/>
    <tableColumn id="246" name="Stĺpec246" dataDxfId="2573"/>
    <tableColumn id="245" name="Stĺpec245" dataDxfId="2572"/>
    <tableColumn id="244" name="Stĺpec244" dataDxfId="2571"/>
    <tableColumn id="243" name="Stĺpec243" dataDxfId="2570"/>
    <tableColumn id="242" name="Stĺpec242" dataDxfId="2569"/>
    <tableColumn id="241" name="Stĺpec241" dataDxfId="2568"/>
    <tableColumn id="240" name="Stĺpec240" dataDxfId="2567"/>
    <tableColumn id="239" name="Stĺpec239" dataDxfId="2566"/>
    <tableColumn id="238" name="Stĺpec238" dataDxfId="2565"/>
    <tableColumn id="237" name="Stĺpec237" dataDxfId="2564"/>
    <tableColumn id="236" name="Stĺpec236" dataDxfId="2563"/>
    <tableColumn id="216" name="Stĺpec235" dataDxfId="2562"/>
    <tableColumn id="230" name="Stĺpec229" dataDxfId="2561"/>
    <tableColumn id="229" name="Stĺpec228" dataDxfId="2560"/>
    <tableColumn id="228" name="Stĺpec227" dataDxfId="2559"/>
    <tableColumn id="227" name="Stĺpec226" dataDxfId="2558"/>
    <tableColumn id="296" name="Stĺpec296" dataDxfId="2557"/>
    <tableColumn id="295" name="Stĺpec295" dataDxfId="2556"/>
    <tableColumn id="294" name="Stĺpec294" dataDxfId="2555"/>
    <tableColumn id="293" name="Stĺpec293" dataDxfId="2554"/>
    <tableColumn id="292" name="Stĺpec292" dataDxfId="2553"/>
    <tableColumn id="291" name="Stĺpec291" dataDxfId="2552"/>
    <tableColumn id="290" name="Stĺpec290" dataDxfId="2551"/>
    <tableColumn id="289" name="Stĺpec289" dataDxfId="2550"/>
    <tableColumn id="288" name="Stĺpec288" dataDxfId="2549"/>
    <tableColumn id="287" name="Stĺpec287" dataDxfId="2548"/>
    <tableColumn id="286" name="Stĺpec286" dataDxfId="2547"/>
    <tableColumn id="285" name="Stĺpec285" dataDxfId="2546"/>
    <tableColumn id="284" name="Stĺpec284" dataDxfId="2545"/>
    <tableColumn id="283" name="Stĺpec283" dataDxfId="2544"/>
    <tableColumn id="323" name="Stĺpec323" dataDxfId="174"/>
    <tableColumn id="322" name="Stĺpec322" dataDxfId="175"/>
    <tableColumn id="321" name="Stĺpec321" dataDxfId="176"/>
    <tableColumn id="320" name="Stĺpec320" dataDxfId="177"/>
    <tableColumn id="319" name="Stĺpec319" dataDxfId="178"/>
    <tableColumn id="316" name="Stĺpec316" dataDxfId="179"/>
    <tableColumn id="315" name="Stĺpec315" dataDxfId="180"/>
    <tableColumn id="314" name="Stĺpec314" dataDxfId="181"/>
    <tableColumn id="313" name="Stĺpec313" dataDxfId="182"/>
    <tableColumn id="312" name="Stĺpec312" dataDxfId="183"/>
    <tableColumn id="311" name="Stĺpec311" dataDxfId="184"/>
    <tableColumn id="310" name="Stĺpec310" dataDxfId="185"/>
    <tableColumn id="309" name="Stĺpec309" dataDxfId="186"/>
    <tableColumn id="308" name="Stĺpec308" dataDxfId="187"/>
    <tableColumn id="307" name="Stĺpec307" dataDxfId="188"/>
    <tableColumn id="306" name="Stĺpec306" dataDxfId="189"/>
    <tableColumn id="305" name="Stĺpec305" dataDxfId="190"/>
    <tableColumn id="304" name="Stĺpec304" dataDxfId="191"/>
    <tableColumn id="303" name="Stĺpec303" dataDxfId="192"/>
    <tableColumn id="302" name="Stĺpec302" dataDxfId="193"/>
    <tableColumn id="301" name="Stĺpec301" dataDxfId="194"/>
    <tableColumn id="300" name="Stĺpec300" dataDxfId="195"/>
    <tableColumn id="299" name="Stĺpec299" dataDxfId="196"/>
    <tableColumn id="298" name="Stĺpec298" dataDxfId="197"/>
    <tableColumn id="297" name="Stĺpec297" dataDxfId="198"/>
    <tableColumn id="282" name="Stĺpec282" dataDxfId="2543"/>
    <tableColumn id="281" name="Stĺpec281" dataDxfId="2542"/>
    <tableColumn id="280" name="Stĺpec280" dataDxfId="2541"/>
    <tableColumn id="279" name="Stĺpec279" dataDxfId="2540"/>
    <tableColumn id="226" name="Stĺpec225" dataDxfId="2539"/>
    <tableColumn id="225" name="Stĺpec224" dataDxfId="2538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id="8" name="Tabuľka119" displayName="Tabuľka119" ref="A8:LF24" headerRowCount="0" totalsRowShown="0">
  <tableColumns count="318">
    <tableColumn id="1" name="Stĺpec1" dataDxfId="2537"/>
    <tableColumn id="2" name="Stĺpec2" dataDxfId="2536"/>
    <tableColumn id="3" name="Stĺpec3" dataDxfId="2535"/>
    <tableColumn id="4" name="Stĺpec4"/>
    <tableColumn id="5" name="Stĺpec5" dataDxfId="2534"/>
    <tableColumn id="6" name="Stĺpec6" dataDxfId="2533"/>
    <tableColumn id="7" name="Stĺpec7"/>
    <tableColumn id="8" name="Stĺpec8" dataDxfId="2532"/>
    <tableColumn id="9" name="Stĺpec9" dataDxfId="2531"/>
    <tableColumn id="10" name="Stĺpec10" dataDxfId="2530"/>
    <tableColumn id="11" name="Stĺpec11" dataDxfId="2529"/>
    <tableColumn id="12" name="Stĺpec12" dataDxfId="2528"/>
    <tableColumn id="13" name="Stĺpec13" dataDxfId="2527"/>
    <tableColumn id="14" name="Stĺpec14" dataDxfId="2526"/>
    <tableColumn id="15" name="Stĺpec15" dataDxfId="2525"/>
    <tableColumn id="16" name="Stĺpec16" dataDxfId="2524"/>
    <tableColumn id="17" name="Stĺpec17" dataDxfId="2523"/>
    <tableColumn id="18" name="Stĺpec18" dataDxfId="2522"/>
    <tableColumn id="19" name="Stĺpec19" dataDxfId="2521"/>
    <tableColumn id="20" name="Stĺpec20" dataDxfId="2520"/>
    <tableColumn id="21" name="Stĺpec21" dataDxfId="2519"/>
    <tableColumn id="22" name="Stĺpec22" dataDxfId="2518"/>
    <tableColumn id="23" name="Stĺpec23" dataDxfId="2517"/>
    <tableColumn id="24" name="Stĺpec24" dataDxfId="2516"/>
    <tableColumn id="25" name="Stĺpec25" dataDxfId="2515"/>
    <tableColumn id="26" name="Stĺpec26" dataDxfId="2514"/>
    <tableColumn id="27" name="Stĺpec27" dataDxfId="2513"/>
    <tableColumn id="28" name="Stĺpec28" dataDxfId="2512"/>
    <tableColumn id="29" name="Stĺpec29" dataDxfId="2511"/>
    <tableColumn id="30" name="Stĺpec30" dataDxfId="2510"/>
    <tableColumn id="31" name="Stĺpec31" dataDxfId="2509"/>
    <tableColumn id="32" name="Stĺpec32" dataDxfId="2508"/>
    <tableColumn id="33" name="Stĺpec33" dataDxfId="2507"/>
    <tableColumn id="34" name="Stĺpec34" dataDxfId="2506"/>
    <tableColumn id="35" name="Stĺpec35" dataDxfId="2505"/>
    <tableColumn id="36" name="Stĺpec36" dataDxfId="2504"/>
    <tableColumn id="37" name="Stĺpec37" dataDxfId="2503"/>
    <tableColumn id="38" name="Stĺpec38" dataDxfId="2502"/>
    <tableColumn id="39" name="Stĺpec39" dataDxfId="2501"/>
    <tableColumn id="40" name="Stĺpec40" dataDxfId="2500"/>
    <tableColumn id="41" name="Stĺpec41" dataDxfId="2499"/>
    <tableColumn id="42" name="Stĺpec42" dataDxfId="2498"/>
    <tableColumn id="43" name="Stĺpec43" dataDxfId="2497"/>
    <tableColumn id="44" name="Stĺpec44" dataDxfId="2496"/>
    <tableColumn id="45" name="Stĺpec45" dataDxfId="2495"/>
    <tableColumn id="46" name="Stĺpec46" dataDxfId="2494"/>
    <tableColumn id="47" name="Stĺpec47" dataDxfId="2493"/>
    <tableColumn id="48" name="Stĺpec48" dataDxfId="2492"/>
    <tableColumn id="49" name="Stĺpec49" dataDxfId="2491"/>
    <tableColumn id="51" name="Stĺpec51" dataDxfId="2490"/>
    <tableColumn id="52" name="Stĺpec52" dataDxfId="2489"/>
    <tableColumn id="53" name="Stĺpec53" dataDxfId="2488"/>
    <tableColumn id="54" name="Stĺpec54" dataDxfId="2487"/>
    <tableColumn id="55" name="Stĺpec55" dataDxfId="2486"/>
    <tableColumn id="56" name="Stĺpec56" dataDxfId="2485"/>
    <tableColumn id="57" name="Stĺpec57" dataDxfId="2484"/>
    <tableColumn id="58" name="Stĺpec58" dataDxfId="2483"/>
    <tableColumn id="59" name="Stĺpec59" dataDxfId="2482"/>
    <tableColumn id="60" name="Stĺpec60" dataDxfId="2481"/>
    <tableColumn id="61" name="Stĺpec61" dataDxfId="2480"/>
    <tableColumn id="62" name="Stĺpec62" dataDxfId="2479"/>
    <tableColumn id="63" name="Stĺpec63" dataDxfId="2478"/>
    <tableColumn id="64" name="Stĺpec64" dataDxfId="2477"/>
    <tableColumn id="65" name="Stĺpec65" dataDxfId="2476"/>
    <tableColumn id="66" name="Stĺpec66" dataDxfId="2475"/>
    <tableColumn id="67" name="Stĺpec67" dataDxfId="2474"/>
    <tableColumn id="68" name="Stĺpec68" dataDxfId="2473"/>
    <tableColumn id="69" name="Stĺpec69" dataDxfId="2472"/>
    <tableColumn id="70" name="Stĺpec70" dataDxfId="2471"/>
    <tableColumn id="71" name="Stĺpec71" dataDxfId="2470"/>
    <tableColumn id="72" name="Stĺpec72" dataDxfId="2469"/>
    <tableColumn id="73" name="Stĺpec73" dataDxfId="2468"/>
    <tableColumn id="74" name="Stĺpec74" dataDxfId="2467"/>
    <tableColumn id="75" name="Stĺpec75" dataDxfId="2466"/>
    <tableColumn id="76" name="Stĺpec76" dataDxfId="2465"/>
    <tableColumn id="77" name="Stĺpec77" dataDxfId="2464"/>
    <tableColumn id="78" name="Stĺpec78" dataDxfId="2463"/>
    <tableColumn id="79" name="Stĺpec79" dataDxfId="2462"/>
    <tableColumn id="80" name="Stĺpec80" dataDxfId="2461"/>
    <tableColumn id="81" name="Stĺpec81" dataDxfId="2460"/>
    <tableColumn id="82" name="Stĺpec82" dataDxfId="2459"/>
    <tableColumn id="83" name="Stĺpec83" dataDxfId="2458"/>
    <tableColumn id="84" name="Stĺpec84" dataDxfId="2457"/>
    <tableColumn id="85" name="Stĺpec85" dataDxfId="2456"/>
    <tableColumn id="317" name="Stĺpec317" dataDxfId="2455"/>
    <tableColumn id="94" name="Stĺpec94" dataDxfId="2454"/>
    <tableColumn id="318" name="Stĺpec318" dataDxfId="2453"/>
    <tableColumn id="50" name="Stĺpec50" dataDxfId="2452"/>
    <tableColumn id="86" name="Stĺpec86" dataDxfId="2451"/>
    <tableColumn id="87" name="Stĺpec87" dataDxfId="2450"/>
    <tableColumn id="88" name="Stĺpec88" dataDxfId="2449"/>
    <tableColumn id="89" name="Stĺpec89" dataDxfId="2448"/>
    <tableColumn id="90" name="Stĺpec90" dataDxfId="2447"/>
    <tableColumn id="91" name="Stĺpec91" dataDxfId="2446"/>
    <tableColumn id="92" name="Stĺpec92" dataDxfId="2445"/>
    <tableColumn id="93" name="Stĺpec93" dataDxfId="2444"/>
    <tableColumn id="95" name="Stĺpec95" dataDxfId="2443"/>
    <tableColumn id="96" name="Stĺpec96" dataDxfId="2442"/>
    <tableColumn id="97" name="Stĺpec97" dataDxfId="2441"/>
    <tableColumn id="98" name="Stĺpec98" dataDxfId="2440"/>
    <tableColumn id="99" name="Stĺpec99" dataDxfId="2439"/>
    <tableColumn id="100" name="Stĺpec100" dataDxfId="2438"/>
    <tableColumn id="101" name="Stĺpec101" dataDxfId="2437"/>
    <tableColumn id="102" name="Stĺpec102" dataDxfId="2436"/>
    <tableColumn id="103" name="Stĺpec103" dataDxfId="2435"/>
    <tableColumn id="104" name="Stĺpec104" dataDxfId="2434"/>
    <tableColumn id="105" name="Stĺpec105" dataDxfId="2433"/>
    <tableColumn id="106" name="Stĺpec106" dataDxfId="2432"/>
    <tableColumn id="107" name="Stĺpec107" dataDxfId="2431"/>
    <tableColumn id="108" name="Stĺpec108" dataDxfId="2430"/>
    <tableColumn id="109" name="Stĺpec109" dataDxfId="2429"/>
    <tableColumn id="110" name="Stĺpec110" dataDxfId="2428"/>
    <tableColumn id="111" name="Stĺpec111" dataDxfId="2427"/>
    <tableColumn id="112" name="Stĺpec112" dataDxfId="2426"/>
    <tableColumn id="113" name="Stĺpec113" dataDxfId="2425"/>
    <tableColumn id="114" name="Stĺpec114" dataDxfId="2424"/>
    <tableColumn id="115" name="Stĺpec115" dataDxfId="2423"/>
    <tableColumn id="116" name="Stĺpec116" dataDxfId="2422"/>
    <tableColumn id="117" name="Stĺpec117" dataDxfId="2421"/>
    <tableColumn id="118" name="Stĺpec118" dataDxfId="2420"/>
    <tableColumn id="119" name="Stĺpec119" dataDxfId="2419"/>
    <tableColumn id="120" name="Stĺpec120" dataDxfId="2418"/>
    <tableColumn id="121" name="Stĺpec121" dataDxfId="2417"/>
    <tableColumn id="122" name="Stĺpec122" dataDxfId="2416"/>
    <tableColumn id="123" name="Stĺpec123" dataDxfId="2415"/>
    <tableColumn id="124" name="Stĺpec124" dataDxfId="2414"/>
    <tableColumn id="125" name="Stĺpec125" dataDxfId="2413"/>
    <tableColumn id="126" name="Stĺpec126" dataDxfId="2412"/>
    <tableColumn id="228" name="Stĺpec228" dataDxfId="2411"/>
    <tableColumn id="227" name="Stĺpec227" dataDxfId="2410"/>
    <tableColumn id="127" name="Stĺpec127" dataDxfId="2409"/>
    <tableColumn id="128" name="Stĺpec128" dataDxfId="2408"/>
    <tableColumn id="129" name="Stĺpec129" dataDxfId="2407"/>
    <tableColumn id="130" name="Stĺpec130" dataDxfId="2406"/>
    <tableColumn id="131" name="Stĺpec131" dataDxfId="2405"/>
    <tableColumn id="132" name="Stĺpec132" dataDxfId="2404"/>
    <tableColumn id="133" name="Stĺpec133" dataDxfId="2403"/>
    <tableColumn id="134" name="Stĺpec134" dataDxfId="2402"/>
    <tableColumn id="135" name="Stĺpec135" dataDxfId="2401"/>
    <tableColumn id="136" name="Stĺpec136" dataDxfId="2400"/>
    <tableColumn id="137" name="Stĺpec137" dataDxfId="2399"/>
    <tableColumn id="190" name="Stĺpec189" dataDxfId="2398"/>
    <tableColumn id="189" name="Stĺpec188" dataDxfId="2397"/>
    <tableColumn id="188" name="Stĺpec187" dataDxfId="2396"/>
    <tableColumn id="187" name="Stĺpec186" dataDxfId="2395"/>
    <tableColumn id="186" name="Stĺpec185" dataDxfId="2394"/>
    <tableColumn id="185" name="Stĺpec184" dataDxfId="2393"/>
    <tableColumn id="183" name="Stĺpec183" dataDxfId="2392"/>
    <tableColumn id="192" name="Stĺpec191" dataDxfId="2391"/>
    <tableColumn id="191" name="Stĺpec190" dataDxfId="2390"/>
    <tableColumn id="138" name="Stĺpec138" dataDxfId="2389"/>
    <tableColumn id="139" name="Stĺpec139" dataDxfId="2388"/>
    <tableColumn id="140" name="Stĺpec140" dataDxfId="2387"/>
    <tableColumn id="141" name="Stĺpec141" dataDxfId="2386"/>
    <tableColumn id="142" name="Stĺpec142" dataDxfId="2385"/>
    <tableColumn id="143" name="Stĺpec143" dataDxfId="2384"/>
    <tableColumn id="144" name="Stĺpec144" dataDxfId="2383"/>
    <tableColumn id="145" name="Stĺpec145" dataDxfId="2382"/>
    <tableColumn id="146" name="Stĺpec146" dataDxfId="2381"/>
    <tableColumn id="147" name="Stĺpec147" dataDxfId="2380"/>
    <tableColumn id="148" name="Stĺpec148" dataDxfId="2379"/>
    <tableColumn id="149" name="Stĺpec149" dataDxfId="2378"/>
    <tableColumn id="150" name="Stĺpec150" dataDxfId="2377"/>
    <tableColumn id="151" name="Stĺpec151" dataDxfId="2376"/>
    <tableColumn id="152" name="Stĺpec152" dataDxfId="2375"/>
    <tableColumn id="153" name="Stĺpec153" dataDxfId="2374"/>
    <tableColumn id="154" name="Stĺpec154" dataDxfId="2373"/>
    <tableColumn id="155" name="Stĺpec155" dataDxfId="2372"/>
    <tableColumn id="156" name="Stĺpec156" dataDxfId="2371"/>
    <tableColumn id="157" name="Stĺpec157" dataDxfId="2370"/>
    <tableColumn id="196" name="Stĺpec196" dataDxfId="2369"/>
    <tableColumn id="195" name="Stĺpec195" dataDxfId="2368"/>
    <tableColumn id="202" name="Stĺpec202" dataDxfId="2367"/>
    <tableColumn id="201" name="Stĺpec201" dataDxfId="2366"/>
    <tableColumn id="200" name="Stĺpec200" dataDxfId="2365"/>
    <tableColumn id="199" name="Stĺpec199" dataDxfId="2364"/>
    <tableColumn id="198" name="Stĺpec198" dataDxfId="2363"/>
    <tableColumn id="197" name="Stĺpec197" dataDxfId="2362"/>
    <tableColumn id="194" name="Stĺpec194" dataDxfId="2361"/>
    <tableColumn id="193" name="Stĺpec193" dataDxfId="2360"/>
    <tableColumn id="184" name="Stĺpec192" dataDxfId="2359"/>
    <tableColumn id="182" name="Stĺpec182" dataDxfId="2358"/>
    <tableColumn id="158" name="Stĺpec158" dataDxfId="2357"/>
    <tableColumn id="159" name="Stĺpec159" dataDxfId="2356"/>
    <tableColumn id="160" name="Stĺpec160" dataDxfId="2355"/>
    <tableColumn id="161" name="Stĺpec161" dataDxfId="2354"/>
    <tableColumn id="162" name="Stĺpec162" dataDxfId="2353"/>
    <tableColumn id="163" name="Stĺpec163" dataDxfId="2352"/>
    <tableColumn id="215" name="Stĺpec215" dataDxfId="2351"/>
    <tableColumn id="214" name="Stĺpec214" dataDxfId="2350"/>
    <tableColumn id="213" name="Stĺpec213" dataDxfId="2349"/>
    <tableColumn id="212" name="Stĺpec212" dataDxfId="2348"/>
    <tableColumn id="211" name="Stĺpec211" dataDxfId="2347"/>
    <tableColumn id="210" name="Stĺpec210" dataDxfId="2346"/>
    <tableColumn id="209" name="Stĺpec209" dataDxfId="2345"/>
    <tableColumn id="208" name="Stĺpec208" dataDxfId="2344"/>
    <tableColumn id="207" name="Stĺpec207" dataDxfId="2343"/>
    <tableColumn id="206" name="Stĺpec206" dataDxfId="2342"/>
    <tableColumn id="205" name="Stĺpec205" dataDxfId="2341"/>
    <tableColumn id="217" name="Stĺpec217" dataDxfId="2340"/>
    <tableColumn id="216" name="Stĺpec216" dataDxfId="2339"/>
    <tableColumn id="204" name="Stĺpec204" dataDxfId="2338"/>
    <tableColumn id="203" name="Stĺpec203" dataDxfId="2337"/>
    <tableColumn id="164" name="Stĺpec164" dataDxfId="2336"/>
    <tableColumn id="165" name="Stĺpec165" dataDxfId="2335"/>
    <tableColumn id="166" name="Stĺpec166" dataDxfId="2334"/>
    <tableColumn id="167" name="Stĺpec167" dataDxfId="2333"/>
    <tableColumn id="168" name="Stĺpec168" dataDxfId="2332"/>
    <tableColumn id="169" name="Stĺpec169" dataDxfId="2331"/>
    <tableColumn id="170" name="Stĺpec170" dataDxfId="2330"/>
    <tableColumn id="171" name="Stĺpec171" dataDxfId="2329"/>
    <tableColumn id="172" name="Stĺpec172" dataDxfId="2328"/>
    <tableColumn id="173" name="Stĺpec173" dataDxfId="2327"/>
    <tableColumn id="174" name="Stĺpec174" dataDxfId="2326"/>
    <tableColumn id="175" name="Stĺpec175" dataDxfId="2325"/>
    <tableColumn id="181" name="Stĺpec181" dataDxfId="2324"/>
    <tableColumn id="176" name="Stĺpec176" dataDxfId="2323"/>
    <tableColumn id="177" name="Stĺpec177" dataDxfId="2322"/>
    <tableColumn id="178" name="Stĺpec178" dataDxfId="2321"/>
    <tableColumn id="179" name="Stĺpec179" dataDxfId="2320"/>
    <tableColumn id="226" name="Stĺpec226" dataDxfId="2319"/>
    <tableColumn id="225" name="Stĺpec225" dataDxfId="2318"/>
    <tableColumn id="224" name="Stĺpec224" dataDxfId="2317"/>
    <tableColumn id="271" name="Stĺpec271" dataDxfId="2316"/>
    <tableColumn id="270" name="Stĺpec270" dataDxfId="2315"/>
    <tableColumn id="269" name="Stĺpec269" dataDxfId="2314"/>
    <tableColumn id="268" name="Stĺpec268" dataDxfId="2313"/>
    <tableColumn id="267" name="Stĺpec267" dataDxfId="2312"/>
    <tableColumn id="266" name="Stĺpec266" dataDxfId="2311"/>
    <tableColumn id="265" name="Stĺpec265" dataDxfId="2310"/>
    <tableColumn id="264" name="Stĺpec264" dataDxfId="2309"/>
    <tableColumn id="263" name="Stĺpec263" dataDxfId="2308"/>
    <tableColumn id="262" name="Stĺpec262" dataDxfId="2307"/>
    <tableColumn id="261" name="Stĺpec261" dataDxfId="2306"/>
    <tableColumn id="260" name="Stĺpec260" dataDxfId="2305"/>
    <tableColumn id="259" name="Stĺpec259" dataDxfId="2304"/>
    <tableColumn id="258" name="Stĺpec258" dataDxfId="2303"/>
    <tableColumn id="257" name="Stĺpec257" dataDxfId="2302"/>
    <tableColumn id="256" name="Stĺpec256" dataDxfId="2301"/>
    <tableColumn id="255" name="Stĺpec255" dataDxfId="2300"/>
    <tableColumn id="254" name="Stĺpec254" dataDxfId="2299"/>
    <tableColumn id="253" name="Stĺpec253" dataDxfId="2298"/>
    <tableColumn id="252" name="Stĺpec252" dataDxfId="2297"/>
    <tableColumn id="251" name="Stĺpec251" dataDxfId="2296"/>
    <tableColumn id="250" name="Stĺpec250" dataDxfId="2295"/>
    <tableColumn id="249" name="Stĺpec249" dataDxfId="2294"/>
    <tableColumn id="248" name="Stĺpec248" dataDxfId="2293"/>
    <tableColumn id="247" name="Stĺpec247" dataDxfId="2292"/>
    <tableColumn id="246" name="Stĺpec246" dataDxfId="2291"/>
    <tableColumn id="245" name="Stĺpec245" dataDxfId="2290"/>
    <tableColumn id="244" name="Stĺpec244" dataDxfId="2289"/>
    <tableColumn id="243" name="Stĺpec243" dataDxfId="2288"/>
    <tableColumn id="242" name="Stĺpec242" dataDxfId="2287"/>
    <tableColumn id="241" name="Stĺpec241" dataDxfId="2286"/>
    <tableColumn id="240" name="Stĺpec240" dataDxfId="2285"/>
    <tableColumn id="239" name="Stĺpec239" dataDxfId="2284"/>
    <tableColumn id="238" name="Stĺpec238" dataDxfId="2283"/>
    <tableColumn id="237" name="Stĺpec237" dataDxfId="2282"/>
    <tableColumn id="236" name="Stĺpec236" dataDxfId="2281"/>
    <tableColumn id="235" name="Stĺpec235" dataDxfId="2280"/>
    <tableColumn id="234" name="Stĺpec234" dataDxfId="2279"/>
    <tableColumn id="233" name="Stĺpec233" dataDxfId="2278"/>
    <tableColumn id="232" name="Stĺpec232" dataDxfId="2277"/>
    <tableColumn id="231" name="Stĺpec231" dataDxfId="2276"/>
    <tableColumn id="230" name="Stĺpec230" dataDxfId="2275"/>
    <tableColumn id="229" name="Stĺpec229" dataDxfId="2274"/>
    <tableColumn id="223" name="Stĺpec223" dataDxfId="2273"/>
    <tableColumn id="222" name="Stĺpec222" dataDxfId="2272"/>
    <tableColumn id="297" name="Stĺpec297" dataDxfId="2271"/>
    <tableColumn id="296" name="Stĺpec296" dataDxfId="2270"/>
    <tableColumn id="295" name="Stĺpec295" dataDxfId="2269"/>
    <tableColumn id="294" name="Stĺpec294" dataDxfId="2268"/>
    <tableColumn id="293" name="Stĺpec293" dataDxfId="2267"/>
    <tableColumn id="292" name="Stĺpec292" dataDxfId="2266"/>
    <tableColumn id="291" name="Stĺpec291" dataDxfId="2265"/>
    <tableColumn id="290" name="Stĺpec290" dataDxfId="2264"/>
    <tableColumn id="289" name="Stĺpec289" dataDxfId="2263"/>
    <tableColumn id="288" name="Stĺpec288" dataDxfId="2262"/>
    <tableColumn id="287" name="Stĺpec287" dataDxfId="2261"/>
    <tableColumn id="286" name="Stĺpec286" dataDxfId="2260"/>
    <tableColumn id="285" name="Stĺpec285" dataDxfId="2259"/>
    <tableColumn id="284" name="Stĺpec284" dataDxfId="2258"/>
    <tableColumn id="283" name="Stĺpec283" dataDxfId="2257"/>
    <tableColumn id="282" name="Stĺpec282" dataDxfId="2256"/>
    <tableColumn id="281" name="Stĺpec281" dataDxfId="2255"/>
    <tableColumn id="280" name="Stĺpec280" dataDxfId="2254"/>
    <tableColumn id="279" name="Stĺpec279" dataDxfId="2253"/>
    <tableColumn id="278" name="Stĺpec278" dataDxfId="2252"/>
    <tableColumn id="277" name="Stĺpec277" dataDxfId="2251"/>
    <tableColumn id="276" name="Stĺpec276" dataDxfId="2250"/>
    <tableColumn id="275" name="Stĺpec275" dataDxfId="2249"/>
    <tableColumn id="324" name="Stĺpec324" dataDxfId="149"/>
    <tableColumn id="323" name="Stĺpec323" dataDxfId="150"/>
    <tableColumn id="322" name="Stĺpec322" dataDxfId="151"/>
    <tableColumn id="321" name="Stĺpec321" dataDxfId="152"/>
    <tableColumn id="320" name="Stĺpec320" dataDxfId="153"/>
    <tableColumn id="319" name="Stĺpec319" dataDxfId="154"/>
    <tableColumn id="316" name="Stĺpec316" dataDxfId="155"/>
    <tableColumn id="315" name="Stĺpec315" dataDxfId="156"/>
    <tableColumn id="314" name="Stĺpec314" dataDxfId="157"/>
    <tableColumn id="313" name="Stĺpec313" dataDxfId="158"/>
    <tableColumn id="312" name="Stĺpec312" dataDxfId="159"/>
    <tableColumn id="311" name="Stĺpec311" dataDxfId="160"/>
    <tableColumn id="310" name="Stĺpec310" dataDxfId="161"/>
    <tableColumn id="309" name="Stĺpec309" dataDxfId="162"/>
    <tableColumn id="308" name="Stĺpec308" dataDxfId="163"/>
    <tableColumn id="307" name="Stĺpec307" dataDxfId="164"/>
    <tableColumn id="306" name="Stĺpec306" dataDxfId="165"/>
    <tableColumn id="305" name="Stĺpec305" dataDxfId="166"/>
    <tableColumn id="304" name="Stĺpec304" dataDxfId="167"/>
    <tableColumn id="303" name="Stĺpec303" dataDxfId="168"/>
    <tableColumn id="302" name="Stĺpec302" dataDxfId="169"/>
    <tableColumn id="301" name="Stĺpec301" dataDxfId="170"/>
    <tableColumn id="300" name="Stĺpec300" dataDxfId="171"/>
    <tableColumn id="299" name="Stĺpec299" dataDxfId="172"/>
    <tableColumn id="298" name="Stĺpec298" dataDxfId="173"/>
    <tableColumn id="274" name="Stĺpec274" dataDxfId="2248"/>
    <tableColumn id="273" name="Stĺpec273" dataDxfId="2247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id="2" name="Tabuľka2" displayName="Tabuľka2" ref="A8:LF60" headerRowCount="0" totalsRowShown="0">
  <tableColumns count="318">
    <tableColumn id="1" name="Stĺpec1" dataDxfId="2246"/>
    <tableColumn id="2" name="Stĺpec2" dataDxfId="2245"/>
    <tableColumn id="3" name="Stĺpec3" dataDxfId="2244"/>
    <tableColumn id="4" name="Stĺpec4"/>
    <tableColumn id="5" name="Stĺpec5" dataDxfId="2243"/>
    <tableColumn id="6" name="Stĺpec6" dataDxfId="2242"/>
    <tableColumn id="7" name="Stĺpec7"/>
    <tableColumn id="8" name="Stĺpec8" dataDxfId="2241"/>
    <tableColumn id="9" name="Stĺpec9" dataDxfId="2240"/>
    <tableColumn id="10" name="Stĺpec10" dataDxfId="2239"/>
    <tableColumn id="11" name="Stĺpec11" dataDxfId="2238"/>
    <tableColumn id="12" name="Stĺpec12" dataDxfId="2237"/>
    <tableColumn id="13" name="Stĺpec13" dataDxfId="2236"/>
    <tableColumn id="14" name="Stĺpec14" dataDxfId="2235"/>
    <tableColumn id="15" name="Stĺpec15" dataDxfId="2234"/>
    <tableColumn id="16" name="Stĺpec16" dataDxfId="2233"/>
    <tableColumn id="17" name="Stĺpec17" dataDxfId="2232"/>
    <tableColumn id="18" name="Stĺpec18" dataDxfId="2231"/>
    <tableColumn id="19" name="Stĺpec19" dataDxfId="2230"/>
    <tableColumn id="20" name="Stĺpec20" dataDxfId="2229"/>
    <tableColumn id="21" name="Stĺpec21" dataDxfId="2228"/>
    <tableColumn id="22" name="Stĺpec22" dataDxfId="2227"/>
    <tableColumn id="23" name="Stĺpec23" dataDxfId="2226"/>
    <tableColumn id="24" name="Stĺpec24" dataDxfId="2225"/>
    <tableColumn id="25" name="Stĺpec25" dataDxfId="2224"/>
    <tableColumn id="26" name="Stĺpec26" dataDxfId="2223"/>
    <tableColumn id="27" name="Stĺpec27" dataDxfId="2222"/>
    <tableColumn id="28" name="Stĺpec28" dataDxfId="2221"/>
    <tableColumn id="29" name="Stĺpec29" dataDxfId="2220"/>
    <tableColumn id="30" name="Stĺpec30" dataDxfId="2219"/>
    <tableColumn id="31" name="Stĺpec31" dataDxfId="2218"/>
    <tableColumn id="32" name="Stĺpec32" dataDxfId="2217"/>
    <tableColumn id="33" name="Stĺpec33" dataDxfId="2216"/>
    <tableColumn id="34" name="Stĺpec34" dataDxfId="2215"/>
    <tableColumn id="206" name="Stĺpec206" dataDxfId="2214"/>
    <tableColumn id="35" name="Stĺpec35" dataDxfId="2213"/>
    <tableColumn id="36" name="Stĺpec36" dataDxfId="2212"/>
    <tableColumn id="37" name="Stĺpec37" dataDxfId="2211"/>
    <tableColumn id="38" name="Stĺpec38" dataDxfId="2210"/>
    <tableColumn id="39" name="Stĺpec39" dataDxfId="2209"/>
    <tableColumn id="40" name="Stĺpec40" dataDxfId="2208"/>
    <tableColumn id="41" name="Stĺpec41" dataDxfId="2207"/>
    <tableColumn id="42" name="Stĺpec42" dataDxfId="2206"/>
    <tableColumn id="43" name="Stĺpec43" dataDxfId="2205"/>
    <tableColumn id="44" name="Stĺpec44" dataDxfId="2204"/>
    <tableColumn id="45" name="Stĺpec45" dataDxfId="2203"/>
    <tableColumn id="46" name="Stĺpec46" dataDxfId="2202"/>
    <tableColumn id="47" name="Stĺpec47" dataDxfId="2201"/>
    <tableColumn id="48" name="Stĺpec48" dataDxfId="2200"/>
    <tableColumn id="49" name="Stĺpec49" dataDxfId="2199"/>
    <tableColumn id="50" name="Stĺpec50" dataDxfId="2198"/>
    <tableColumn id="51" name="Stĺpec51" dataDxfId="2197"/>
    <tableColumn id="52" name="Stĺpec52" dataDxfId="2196"/>
    <tableColumn id="53" name="Stĺpec53" dataDxfId="2195"/>
    <tableColumn id="54" name="Stĺpec54" dataDxfId="2194"/>
    <tableColumn id="55" name="Stĺpec55" dataDxfId="2193"/>
    <tableColumn id="56" name="Stĺpec56" dataDxfId="2192"/>
    <tableColumn id="57" name="Stĺpec57" dataDxfId="2191"/>
    <tableColumn id="213" name="Stĺpec213" dataDxfId="2190"/>
    <tableColumn id="212" name="Stĺpec212" dataDxfId="2189"/>
    <tableColumn id="211" name="Stĺpec211" dataDxfId="2188"/>
    <tableColumn id="210" name="Stĺpec210" dataDxfId="2187"/>
    <tableColumn id="209" name="Stĺpec209" dataDxfId="2186"/>
    <tableColumn id="208" name="Stĺpec208" dataDxfId="2185"/>
    <tableColumn id="207" name="Stĺpec207" dataDxfId="2184"/>
    <tableColumn id="58" name="Stĺpec58" dataDxfId="2183"/>
    <tableColumn id="59" name="Stĺpec59" dataDxfId="2182"/>
    <tableColumn id="60" name="Stĺpec60" dataDxfId="2181"/>
    <tableColumn id="61" name="Stĺpec61" dataDxfId="2180"/>
    <tableColumn id="62" name="Stĺpec62" dataDxfId="2179"/>
    <tableColumn id="63" name="Stĺpec63" dataDxfId="2178"/>
    <tableColumn id="64" name="Stĺpec64" dataDxfId="2177"/>
    <tableColumn id="65" name="Stĺpec65" dataDxfId="2176"/>
    <tableColumn id="66" name="Stĺpec66" dataDxfId="2175"/>
    <tableColumn id="67" name="Stĺpec67" dataDxfId="2174"/>
    <tableColumn id="68" name="Stĺpec68" dataDxfId="2173"/>
    <tableColumn id="69" name="Stĺpec69" dataDxfId="2172"/>
    <tableColumn id="70" name="Stĺpec70" dataDxfId="2171"/>
    <tableColumn id="71" name="Stĺpec71" dataDxfId="2170"/>
    <tableColumn id="72" name="Stĺpec72" dataDxfId="2169"/>
    <tableColumn id="73" name="Stĺpec73" dataDxfId="2168"/>
    <tableColumn id="216" name="Stĺpec216" dataDxfId="2167"/>
    <tableColumn id="215" name="Stĺpec215" dataDxfId="2166"/>
    <tableColumn id="214" name="Stĺpec214" dataDxfId="2165"/>
    <tableColumn id="74" name="Stĺpec74" dataDxfId="2164"/>
    <tableColumn id="75" name="Stĺpec75" dataDxfId="2163"/>
    <tableColumn id="76" name="Stĺpec76" dataDxfId="2162"/>
    <tableColumn id="77" name="Stĺpec77" dataDxfId="2161"/>
    <tableColumn id="219" name="Stĺpec219" dataDxfId="2160"/>
    <tableColumn id="218" name="Stĺpec218" dataDxfId="2159"/>
    <tableColumn id="217" name="Stĺpec217" dataDxfId="2158"/>
    <tableColumn id="78" name="Stĺpec78" dataDxfId="2157"/>
    <tableColumn id="79" name="Stĺpec79" dataDxfId="2156"/>
    <tableColumn id="80" name="Stĺpec80" dataDxfId="2155"/>
    <tableColumn id="81" name="Stĺpec81" dataDxfId="2154"/>
    <tableColumn id="82" name="Stĺpec82" dataDxfId="2153"/>
    <tableColumn id="83" name="Stĺpec83" dataDxfId="2152"/>
    <tableColumn id="84" name="Stĺpec84" dataDxfId="2151"/>
    <tableColumn id="85" name="Stĺpec85" dataDxfId="2150"/>
    <tableColumn id="86" name="Stĺpec86" dataDxfId="2149"/>
    <tableColumn id="87" name="Stĺpec87" dataDxfId="2148"/>
    <tableColumn id="88" name="Stĺpec88" dataDxfId="2147"/>
    <tableColumn id="131" name="Stĺpec131" dataDxfId="2146"/>
    <tableColumn id="130" name="Stĺpec130" dataDxfId="2145"/>
    <tableColumn id="129" name="Stĺpec129" dataDxfId="2144"/>
    <tableColumn id="128" name="Stĺpec128" dataDxfId="2143"/>
    <tableColumn id="133" name="Stĺpec133" dataDxfId="2142"/>
    <tableColumn id="132" name="Stĺpec132" dataDxfId="2141"/>
    <tableColumn id="127" name="Stĺpec127" dataDxfId="2140"/>
    <tableColumn id="222" name="Stĺpec222" dataDxfId="2139"/>
    <tableColumn id="221" name="Stĺpec221" dataDxfId="2138"/>
    <tableColumn id="220" name="Stĺpec220" dataDxfId="2137"/>
    <tableColumn id="89" name="Stĺpec89" dataDxfId="2136"/>
    <tableColumn id="90" name="Stĺpec90" dataDxfId="2135"/>
    <tableColumn id="91" name="Stĺpec91" dataDxfId="2134"/>
    <tableColumn id="92" name="Stĺpec92" dataDxfId="2133"/>
    <tableColumn id="93" name="Stĺpec93" dataDxfId="2132"/>
    <tableColumn id="94" name="Stĺpec94" dataDxfId="2131"/>
    <tableColumn id="95" name="Stĺpec95" dataDxfId="2130"/>
    <tableColumn id="96" name="Stĺpec96" dataDxfId="2129"/>
    <tableColumn id="97" name="Stĺpec97" dataDxfId="2128"/>
    <tableColumn id="98" name="Stĺpec98" dataDxfId="2127"/>
    <tableColumn id="99" name="Stĺpec99" dataDxfId="2126"/>
    <tableColumn id="100" name="Stĺpec100" dataDxfId="2125"/>
    <tableColumn id="225" name="Stĺpec225" dataDxfId="2124"/>
    <tableColumn id="224" name="Stĺpec224" dataDxfId="2123"/>
    <tableColumn id="223" name="Stĺpec223" dataDxfId="2122"/>
    <tableColumn id="101" name="Stĺpec101" dataDxfId="2121"/>
    <tableColumn id="238" name="Stĺpec237" dataDxfId="2120"/>
    <tableColumn id="237" name="Stĺpec236" dataDxfId="2119"/>
    <tableColumn id="102" name="Stĺpec102" dataDxfId="2118"/>
    <tableColumn id="103" name="Stĺpec103" dataDxfId="2117"/>
    <tableColumn id="158" name="Stĺpec158" dataDxfId="2116"/>
    <tableColumn id="157" name="Stĺpec157" dataDxfId="2115"/>
    <tableColumn id="156" name="Stĺpec156" dataDxfId="2114"/>
    <tableColumn id="155" name="Stĺpec155" dataDxfId="2113"/>
    <tableColumn id="154" name="Stĺpec154" dataDxfId="2112"/>
    <tableColumn id="153" name="Stĺpec153" dataDxfId="2111"/>
    <tableColumn id="152" name="Stĺpec152" dataDxfId="2110"/>
    <tableColumn id="151" name="Stĺpec151" dataDxfId="2109"/>
    <tableColumn id="150" name="Stĺpec150" dataDxfId="2108"/>
    <tableColumn id="149" name="Stĺpec149" dataDxfId="2107"/>
    <tableColumn id="148" name="Stĺpec148" dataDxfId="2106"/>
    <tableColumn id="147" name="Stĺpec147" dataDxfId="2105"/>
    <tableColumn id="146" name="Stĺpec146" dataDxfId="2104"/>
    <tableColumn id="145" name="Stĺpec145" dataDxfId="2103"/>
    <tableColumn id="144" name="Stĺpec144" dataDxfId="2102"/>
    <tableColumn id="143" name="Stĺpec143" dataDxfId="2101"/>
    <tableColumn id="142" name="Stĺpec142" dataDxfId="2100"/>
    <tableColumn id="141" name="Stĺpec141" dataDxfId="2099"/>
    <tableColumn id="140" name="Stĺpec140" dataDxfId="2098"/>
    <tableColumn id="139" name="Stĺpec139" dataDxfId="2097"/>
    <tableColumn id="138" name="Stĺpec138" dataDxfId="2096"/>
    <tableColumn id="137" name="Stĺpec137" dataDxfId="2095"/>
    <tableColumn id="136" name="Stĺpec136" dataDxfId="2094"/>
    <tableColumn id="135" name="Stĺpec135" dataDxfId="2093"/>
    <tableColumn id="134" name="Stĺpec134" dataDxfId="2092"/>
    <tableColumn id="104" name="Stĺpec104" dataDxfId="2091"/>
    <tableColumn id="105" name="Stĺpec105" dataDxfId="2090"/>
    <tableColumn id="106" name="Stĺpec106" dataDxfId="2089"/>
    <tableColumn id="107" name="Stĺpec107" dataDxfId="2088"/>
    <tableColumn id="108" name="Stĺpec108" dataDxfId="2087"/>
    <tableColumn id="109" name="Stĺpec109" dataDxfId="2086"/>
    <tableColumn id="110" name="Stĺpec110" dataDxfId="2085"/>
    <tableColumn id="111" name="Stĺpec111" dataDxfId="2084"/>
    <tableColumn id="112" name="Stĺpec112" dataDxfId="2083"/>
    <tableColumn id="113" name="Stĺpec113" dataDxfId="2082"/>
    <tableColumn id="114" name="Stĺpec114" dataDxfId="2081"/>
    <tableColumn id="115" name="Stĺpec115" dataDxfId="2080"/>
    <tableColumn id="116" name="Stĺpec116" dataDxfId="2079"/>
    <tableColumn id="117" name="Stĺpec117" dataDxfId="2078"/>
    <tableColumn id="118" name="Stĺpec118" dataDxfId="2077"/>
    <tableColumn id="119" name="Stĺpec119" dataDxfId="2076"/>
    <tableColumn id="120" name="Stĺpec120" dataDxfId="2075"/>
    <tableColumn id="189" name="Stĺpec188" dataDxfId="2074"/>
    <tableColumn id="188" name="Stĺpec187" dataDxfId="2073"/>
    <tableColumn id="187" name="Stĺpec186" dataDxfId="2072"/>
    <tableColumn id="186" name="Stĺpec185" dataDxfId="2071"/>
    <tableColumn id="185" name="Stĺpec184" dataDxfId="2070"/>
    <tableColumn id="184" name="Stĺpec183" dataDxfId="2069"/>
    <tableColumn id="183" name="Stĺpec182" dataDxfId="2068"/>
    <tableColumn id="182" name="Stĺpec181" dataDxfId="2067"/>
    <tableColumn id="181" name="Stĺpec180" dataDxfId="2066"/>
    <tableColumn id="180" name="Stĺpec179" dataDxfId="2065"/>
    <tableColumn id="179" name="Stĺpec178" dataDxfId="2064"/>
    <tableColumn id="178" name="Stĺpec177" dataDxfId="2063"/>
    <tableColumn id="177" name="Stĺpec176" dataDxfId="2062"/>
    <tableColumn id="175" name="Stĺpec175" dataDxfId="2061"/>
    <tableColumn id="174" name="Stĺpec174" dataDxfId="2060"/>
    <tableColumn id="173" name="Stĺpec173" dataDxfId="2059"/>
    <tableColumn id="236" name="Stĺpec235" dataDxfId="2058"/>
    <tableColumn id="235" name="Stĺpec234" dataDxfId="2057"/>
    <tableColumn id="234" name="Stĺpec233" dataDxfId="2056"/>
    <tableColumn id="233" name="Stĺpec232" dataDxfId="2055"/>
    <tableColumn id="232" name="Stĺpec231" dataDxfId="2054"/>
    <tableColumn id="231" name="Stĺpec230" dataDxfId="2053"/>
    <tableColumn id="230" name="Stĺpec229" dataDxfId="2052"/>
    <tableColumn id="229" name="Stĺpec228" dataDxfId="2051"/>
    <tableColumn id="228" name="Stĺpec227" dataDxfId="2050"/>
    <tableColumn id="227" name="Stĺpec226" dataDxfId="2049"/>
    <tableColumn id="226" name="Stĺpec205" dataDxfId="2048"/>
    <tableColumn id="205" name="Stĺpec204" dataDxfId="2047"/>
    <tableColumn id="204" name="Stĺpec203" dataDxfId="2046"/>
    <tableColumn id="203" name="Stĺpec202" dataDxfId="2045"/>
    <tableColumn id="202" name="Stĺpec201" dataDxfId="2044"/>
    <tableColumn id="201" name="Stĺpec200" dataDxfId="2043"/>
    <tableColumn id="200" name="Stĺpec199" dataDxfId="2042"/>
    <tableColumn id="199" name="Stĺpec198" dataDxfId="2041"/>
    <tableColumn id="198" name="Stĺpec197" dataDxfId="2040"/>
    <tableColumn id="197" name="Stĺpec196" dataDxfId="2039"/>
    <tableColumn id="196" name="Stĺpec195" dataDxfId="2038"/>
    <tableColumn id="195" name="Stĺpec194" dataDxfId="2037"/>
    <tableColumn id="194" name="Stĺpec193" dataDxfId="2036"/>
    <tableColumn id="193" name="Stĺpec192" dataDxfId="2035"/>
    <tableColumn id="192" name="Stĺpec191" dataDxfId="2034"/>
    <tableColumn id="191" name="Stĺpec190" dataDxfId="2033"/>
    <tableColumn id="190" name="Stĺpec189" dataDxfId="2032"/>
    <tableColumn id="172" name="Stĺpec172" dataDxfId="2031"/>
    <tableColumn id="171" name="Stĺpec171" dataDxfId="2030"/>
    <tableColumn id="170" name="Stĺpec170" dataDxfId="2029"/>
    <tableColumn id="169" name="Stĺpec169" dataDxfId="2028"/>
    <tableColumn id="168" name="Stĺpec168" dataDxfId="2027"/>
    <tableColumn id="167" name="Stĺpec167" dataDxfId="2026"/>
    <tableColumn id="166" name="Stĺpec166" dataDxfId="2025"/>
    <tableColumn id="165" name="Stĺpec165" dataDxfId="2024"/>
    <tableColumn id="268" name="Stĺpec268" dataDxfId="2023"/>
    <tableColumn id="267" name="Stĺpec267" dataDxfId="2022"/>
    <tableColumn id="266" name="Stĺpec266" dataDxfId="2021"/>
    <tableColumn id="265" name="Stĺpec265" dataDxfId="2020"/>
    <tableColumn id="264" name="Stĺpec264" dataDxfId="2019"/>
    <tableColumn id="263" name="Stĺpec263" dataDxfId="2018"/>
    <tableColumn id="262" name="Stĺpec262" dataDxfId="2017"/>
    <tableColumn id="261" name="Stĺpec261" dataDxfId="2016"/>
    <tableColumn id="260" name="Stĺpec260" dataDxfId="2015"/>
    <tableColumn id="259" name="Stĺpec259" dataDxfId="2014"/>
    <tableColumn id="258" name="Stĺpec258" dataDxfId="2013"/>
    <tableColumn id="257" name="Stĺpec257" dataDxfId="2012"/>
    <tableColumn id="256" name="Stĺpec256" dataDxfId="2011"/>
    <tableColumn id="255" name="Stĺpec255" dataDxfId="2010"/>
    <tableColumn id="254" name="Stĺpec254" dataDxfId="2009"/>
    <tableColumn id="253" name="Stĺpec253" dataDxfId="2008"/>
    <tableColumn id="252" name="Stĺpec252" dataDxfId="2007"/>
    <tableColumn id="251" name="Stĺpec251" dataDxfId="2006"/>
    <tableColumn id="250" name="Stĺpec250" dataDxfId="2005"/>
    <tableColumn id="249" name="Stĺpec249" dataDxfId="2004"/>
    <tableColumn id="248" name="Stĺpec248" dataDxfId="2003"/>
    <tableColumn id="247" name="Stĺpec247" dataDxfId="2002"/>
    <tableColumn id="246" name="Stĺpec246" dataDxfId="2001"/>
    <tableColumn id="245" name="Stĺpec245" dataDxfId="2000"/>
    <tableColumn id="244" name="Stĺpec244" dataDxfId="1999"/>
    <tableColumn id="243" name="Stĺpec243" dataDxfId="1998"/>
    <tableColumn id="242" name="Stĺpec242" dataDxfId="1997"/>
    <tableColumn id="241" name="Stĺpec241" dataDxfId="1996"/>
    <tableColumn id="240" name="Stĺpec240" dataDxfId="1995"/>
    <tableColumn id="239" name="Stĺpec239" dataDxfId="1994"/>
    <tableColumn id="176" name="Stĺpec238" dataDxfId="1993"/>
    <tableColumn id="164" name="Stĺpec164" dataDxfId="1992"/>
    <tableColumn id="163" name="Stĺpec163" dataDxfId="1991"/>
    <tableColumn id="162" name="Stĺpec162" dataDxfId="1990"/>
    <tableColumn id="161" name="Stĺpec161" dataDxfId="1989"/>
    <tableColumn id="160" name="Stĺpec160" dataDxfId="1988"/>
    <tableColumn id="159" name="Stĺpec159" dataDxfId="1987"/>
    <tableColumn id="121" name="Stĺpec121" dataDxfId="1986"/>
    <tableColumn id="122" name="Stĺpec122" dataDxfId="1985"/>
    <tableColumn id="123" name="Stĺpec123" dataDxfId="1984"/>
    <tableColumn id="126" name="Stĺpec126" dataDxfId="1983"/>
    <tableColumn id="274" name="Stĺpec274" dataDxfId="1982"/>
    <tableColumn id="273" name="Stĺpec273" dataDxfId="1981"/>
    <tableColumn id="296" name="Stĺpec296" dataDxfId="1980"/>
    <tableColumn id="295" name="Stĺpec295" dataDxfId="1979"/>
    <tableColumn id="294" name="Stĺpec294" dataDxfId="1978"/>
    <tableColumn id="293" name="Stĺpec293" dataDxfId="1977"/>
    <tableColumn id="292" name="Stĺpec292" dataDxfId="1976"/>
    <tableColumn id="291" name="Stĺpec291" dataDxfId="1975"/>
    <tableColumn id="290" name="Stĺpec290" dataDxfId="1974"/>
    <tableColumn id="289" name="Stĺpec289" dataDxfId="1973"/>
    <tableColumn id="288" name="Stĺpec288" dataDxfId="1972"/>
    <tableColumn id="287" name="Stĺpec287" dataDxfId="1971"/>
    <tableColumn id="286" name="Stĺpec286" dataDxfId="1970"/>
    <tableColumn id="285" name="Stĺpec285" dataDxfId="1969"/>
    <tableColumn id="284" name="Stĺpec284" dataDxfId="1968"/>
    <tableColumn id="283" name="Stĺpec283" dataDxfId="1967"/>
    <tableColumn id="282" name="Stĺpec282" dataDxfId="1966"/>
    <tableColumn id="281" name="Stĺpec281" dataDxfId="1965"/>
    <tableColumn id="280" name="Stĺpec280" dataDxfId="1964"/>
    <tableColumn id="279" name="Stĺpec279" dataDxfId="1963"/>
    <tableColumn id="278" name="Stĺpec278" dataDxfId="1962"/>
    <tableColumn id="277" name="Stĺpec277" dataDxfId="1961"/>
    <tableColumn id="276" name="Stĺpec276" dataDxfId="1960"/>
    <tableColumn id="275" name="Stĺpec275" dataDxfId="1959"/>
    <tableColumn id="326" name="Stĺpec326" dataDxfId="121"/>
    <tableColumn id="325" name="Stĺpec325" dataDxfId="122"/>
    <tableColumn id="324" name="Stĺpec324" dataDxfId="123"/>
    <tableColumn id="323" name="Stĺpec323" dataDxfId="124"/>
    <tableColumn id="322" name="Stĺpec322" dataDxfId="125"/>
    <tableColumn id="321" name="Stĺpec321" dataDxfId="126"/>
    <tableColumn id="320" name="Stĺpec320" dataDxfId="127"/>
    <tableColumn id="319" name="Stĺpec319" dataDxfId="128"/>
    <tableColumn id="318" name="Stĺpec318" dataDxfId="129"/>
    <tableColumn id="317" name="Stĺpec317" dataDxfId="130"/>
    <tableColumn id="316" name="Stĺpec316" dataDxfId="131"/>
    <tableColumn id="315" name="Stĺpec315" dataDxfId="132"/>
    <tableColumn id="314" name="Stĺpec314" dataDxfId="133"/>
    <tableColumn id="313" name="Stĺpec313" dataDxfId="134"/>
    <tableColumn id="312" name="Stĺpec312" dataDxfId="135"/>
    <tableColumn id="311" name="Stĺpec311" dataDxfId="136"/>
    <tableColumn id="310" name="Stĺpec310" dataDxfId="137"/>
    <tableColumn id="309" name="Stĺpec309" dataDxfId="138"/>
    <tableColumn id="308" name="Stĺpec308" dataDxfId="139"/>
    <tableColumn id="307" name="Stĺpec307" dataDxfId="140"/>
    <tableColumn id="306" name="Stĺpec306" dataDxfId="141"/>
    <tableColumn id="305" name="Stĺpec305" dataDxfId="142"/>
    <tableColumn id="304" name="Stĺpec304" dataDxfId="143"/>
    <tableColumn id="303" name="Stĺpec303" dataDxfId="144"/>
    <tableColumn id="302" name="Stĺpec302" dataDxfId="145"/>
    <tableColumn id="301" name="Stĺpec301" dataDxfId="146"/>
    <tableColumn id="300" name="Stĺpec300" dataDxfId="147"/>
    <tableColumn id="299" name="Stĺpec299" dataDxfId="148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id="1" name="Tabuľka1" displayName="Tabuľka1" ref="A8:LF35" headerRowCount="0" totalsRowShown="0">
  <tableColumns count="318">
    <tableColumn id="1" name="Stĺpec1" headerRowDxfId="1958" dataDxfId="1957"/>
    <tableColumn id="2" name="Stĺpec2" headerRowDxfId="1956" dataDxfId="1955"/>
    <tableColumn id="3" name="Stĺpec3" headerRowDxfId="1954" dataDxfId="1953"/>
    <tableColumn id="4" name="Stĺpec4" headerRowDxfId="1952"/>
    <tableColumn id="5" name="Stĺpec5" headerRowDxfId="1951" dataDxfId="1950"/>
    <tableColumn id="6" name="Stĺpec6" headerRowDxfId="1949" dataDxfId="1948"/>
    <tableColumn id="7" name="Stĺpec7" headerRowDxfId="1947"/>
    <tableColumn id="8" name="Stĺpec8" headerRowDxfId="1946" dataDxfId="1945"/>
    <tableColumn id="9" name="Stĺpec9" headerRowDxfId="1944" dataDxfId="1943"/>
    <tableColumn id="10" name="Stĺpec10" headerRowDxfId="1942" dataDxfId="1941"/>
    <tableColumn id="11" name="Stĺpec11" headerRowDxfId="1940" dataDxfId="1939"/>
    <tableColumn id="12" name="Stĺpec12" headerRowDxfId="1938" dataDxfId="1937"/>
    <tableColumn id="13" name="Stĺpec13" headerRowDxfId="1936" dataDxfId="1935"/>
    <tableColumn id="14" name="Stĺpec14" headerRowDxfId="1934" dataDxfId="1933"/>
    <tableColumn id="15" name="Stĺpec15" headerRowDxfId="1932" dataDxfId="1931"/>
    <tableColumn id="16" name="Stĺpec16" headerRowDxfId="1930" dataDxfId="1929"/>
    <tableColumn id="17" name="Stĺpec17" headerRowDxfId="1928" dataDxfId="1927"/>
    <tableColumn id="18" name="Stĺpec18" headerRowDxfId="1926" dataDxfId="1925"/>
    <tableColumn id="19" name="Stĺpec19" headerRowDxfId="1924" dataDxfId="1923"/>
    <tableColumn id="20" name="Stĺpec20" headerRowDxfId="1922" dataDxfId="1921"/>
    <tableColumn id="21" name="Stĺpec21" headerRowDxfId="1920" dataDxfId="1919"/>
    <tableColumn id="22" name="Stĺpec22" headerRowDxfId="1918" dataDxfId="1917"/>
    <tableColumn id="23" name="Stĺpec23" headerRowDxfId="1916" dataDxfId="1915"/>
    <tableColumn id="24" name="Stĺpec24" headerRowDxfId="1914" dataDxfId="1913"/>
    <tableColumn id="25" name="Stĺpec25" headerRowDxfId="1912" dataDxfId="1911"/>
    <tableColumn id="26" name="Stĺpec26" headerRowDxfId="1910" dataDxfId="1909"/>
    <tableColumn id="27" name="Stĺpec27" headerRowDxfId="1908" dataDxfId="1907"/>
    <tableColumn id="28" name="Stĺpec28" headerRowDxfId="1906" dataDxfId="1905"/>
    <tableColumn id="29" name="Stĺpec29" headerRowDxfId="1904" dataDxfId="1903"/>
    <tableColumn id="30" name="Stĺpec30" headerRowDxfId="1902" dataDxfId="1901"/>
    <tableColumn id="31" name="Stĺpec31" headerRowDxfId="1900" dataDxfId="1899"/>
    <tableColumn id="32" name="Stĺpec32" headerRowDxfId="1898" dataDxfId="1897"/>
    <tableColumn id="33" name="Stĺpec33" headerRowDxfId="1896" dataDxfId="1895"/>
    <tableColumn id="34" name="Stĺpec34" headerRowDxfId="1894" dataDxfId="1893"/>
    <tableColumn id="35" name="Stĺpec35" headerRowDxfId="1892" dataDxfId="1891"/>
    <tableColumn id="36" name="Stĺpec36" headerRowDxfId="1890" dataDxfId="1889"/>
    <tableColumn id="37" name="Stĺpec37" headerRowDxfId="1888" dataDxfId="1887"/>
    <tableColumn id="38" name="Stĺpec38" headerRowDxfId="1886" dataDxfId="1885"/>
    <tableColumn id="39" name="Stĺpec39" headerRowDxfId="1884" dataDxfId="1883"/>
    <tableColumn id="40" name="Stĺpec40" headerRowDxfId="1882" dataDxfId="1881"/>
    <tableColumn id="41" name="Stĺpec41" headerRowDxfId="1880" dataDxfId="1879"/>
    <tableColumn id="126" name="Stĺpec126" headerRowDxfId="1878" dataDxfId="1877"/>
    <tableColumn id="125" name="Stĺpec125" headerRowDxfId="1876" dataDxfId="1875"/>
    <tableColumn id="42" name="Stĺpec42" headerRowDxfId="1874" dataDxfId="1873"/>
    <tableColumn id="43" name="Stĺpec43" headerRowDxfId="1872" dataDxfId="1871"/>
    <tableColumn id="44" name="Stĺpec44" headerRowDxfId="1870" dataDxfId="1869"/>
    <tableColumn id="45" name="Stĺpec45" headerRowDxfId="1868" dataDxfId="1867"/>
    <tableColumn id="46" name="Stĺpec46" headerRowDxfId="1866" dataDxfId="1865"/>
    <tableColumn id="47" name="Stĺpec47" headerRowDxfId="1864" dataDxfId="1863"/>
    <tableColumn id="48" name="Stĺpec48" headerRowDxfId="1862" dataDxfId="1861"/>
    <tableColumn id="49" name="Stĺpec49" headerRowDxfId="1860" dataDxfId="1859"/>
    <tableColumn id="50" name="Stĺpec50" headerRowDxfId="1858" dataDxfId="1857"/>
    <tableColumn id="51" name="Stĺpec51" headerRowDxfId="1856" dataDxfId="1855"/>
    <tableColumn id="52" name="Stĺpec52" headerRowDxfId="1854" dataDxfId="1853"/>
    <tableColumn id="53" name="Stĺpec53" headerRowDxfId="1852" dataDxfId="1851"/>
    <tableColumn id="54" name="Stĺpec54" headerRowDxfId="1850" dataDxfId="1849"/>
    <tableColumn id="55" name="Stĺpec55" headerRowDxfId="1848" dataDxfId="1847"/>
    <tableColumn id="56" name="Stĺpec56" headerRowDxfId="1846" dataDxfId="1845"/>
    <tableColumn id="57" name="Stĺpec57" headerRowDxfId="1844" dataDxfId="1843"/>
    <tableColumn id="129" name="Stĺpec129" headerRowDxfId="1842" dataDxfId="1841"/>
    <tableColumn id="128" name="Stĺpec128" headerRowDxfId="1840" dataDxfId="1839"/>
    <tableColumn id="127" name="Stĺpec127" headerRowDxfId="1838" dataDxfId="1837"/>
    <tableColumn id="58" name="Stĺpec58" headerRowDxfId="1836" dataDxfId="1835"/>
    <tableColumn id="59" name="Stĺpec59" headerRowDxfId="1834" dataDxfId="1833"/>
    <tableColumn id="130" name="Stĺpec130" headerRowDxfId="1832" dataDxfId="1831"/>
    <tableColumn id="60" name="Stĺpec60" headerRowDxfId="1830" dataDxfId="1829"/>
    <tableColumn id="61" name="Stĺpec61" headerRowDxfId="1828" dataDxfId="1827"/>
    <tableColumn id="62" name="Stĺpec62" headerRowDxfId="1826" dataDxfId="1825"/>
    <tableColumn id="63" name="Stĺpec63" headerRowDxfId="1824" dataDxfId="1823"/>
    <tableColumn id="64" name="Stĺpec64" headerRowDxfId="1822" dataDxfId="1821"/>
    <tableColumn id="65" name="Stĺpec65" headerRowDxfId="1820" dataDxfId="1819"/>
    <tableColumn id="66" name="Stĺpec66" headerRowDxfId="1818" dataDxfId="1817"/>
    <tableColumn id="67" name="Stĺpec67" headerRowDxfId="1816" dataDxfId="1815"/>
    <tableColumn id="96" name="Stĺpec95" headerRowDxfId="1814" dataDxfId="1813"/>
    <tableColumn id="95" name="Stĺpec94" headerRowDxfId="1812" dataDxfId="1811"/>
    <tableColumn id="94" name="Stĺpec93" headerRowDxfId="1810" dataDxfId="1809"/>
    <tableColumn id="93" name="Stĺpec92" headerRowDxfId="1808" dataDxfId="1807"/>
    <tableColumn id="92" name="Stĺpec91" headerRowDxfId="1806" dataDxfId="1805"/>
    <tableColumn id="91" name="Stĺpec90" headerRowDxfId="1804" dataDxfId="1803"/>
    <tableColumn id="90" name="Stĺpec89" headerRowDxfId="1802" dataDxfId="1801"/>
    <tableColumn id="89" name="Stĺpec88" headerRowDxfId="1800" dataDxfId="1799"/>
    <tableColumn id="88" name="Stĺpec87" headerRowDxfId="1798" dataDxfId="1797"/>
    <tableColumn id="87" name="Stĺpec86" headerRowDxfId="1796" dataDxfId="1795"/>
    <tableColumn id="86" name="Stĺpec85" headerRowDxfId="1794" dataDxfId="1793"/>
    <tableColumn id="85" name="Stĺpec84" headerRowDxfId="1792" dataDxfId="1791"/>
    <tableColumn id="84" name="Stĺpec83" headerRowDxfId="1790" dataDxfId="1789"/>
    <tableColumn id="82" name="Stĺpec82" headerRowDxfId="1788" dataDxfId="1787"/>
    <tableColumn id="81" name="Stĺpec81" headerRowDxfId="1786" dataDxfId="1785"/>
    <tableColumn id="80" name="Stĺpec80" headerRowDxfId="1784" dataDxfId="1783"/>
    <tableColumn id="79" name="Stĺpec79" headerRowDxfId="1782" dataDxfId="1781"/>
    <tableColumn id="78" name="Stĺpec78" headerRowDxfId="1780" dataDxfId="1779"/>
    <tableColumn id="77" name="Stĺpec77" headerRowDxfId="1778" dataDxfId="1777"/>
    <tableColumn id="76" name="Stĺpec76" headerRowDxfId="1776" dataDxfId="1775"/>
    <tableColumn id="116" name="Stĺpec115" headerRowDxfId="1774" dataDxfId="1773"/>
    <tableColumn id="115" name="Stĺpec114" headerRowDxfId="1772" dataDxfId="1771"/>
    <tableColumn id="114" name="Stĺpec113" headerRowDxfId="1770" dataDxfId="1769"/>
    <tableColumn id="113" name="Stĺpec112" headerRowDxfId="1768" dataDxfId="1767"/>
    <tableColumn id="112" name="Stĺpec111" headerRowDxfId="1766" dataDxfId="1765"/>
    <tableColumn id="111" name="Stĺpec110" headerRowDxfId="1764" dataDxfId="1763"/>
    <tableColumn id="110" name="Stĺpec109" headerRowDxfId="1762" dataDxfId="1761"/>
    <tableColumn id="109" name="Stĺpec108" headerRowDxfId="1760" dataDxfId="1759"/>
    <tableColumn id="108" name="Stĺpec107" headerRowDxfId="1758" dataDxfId="1757"/>
    <tableColumn id="107" name="Stĺpec106" headerRowDxfId="1756" dataDxfId="1755"/>
    <tableColumn id="106" name="Stĺpec105" headerRowDxfId="1754" dataDxfId="1753"/>
    <tableColumn id="105" name="Stĺpec104" headerRowDxfId="1752" dataDxfId="1751"/>
    <tableColumn id="104" name="Stĺpec103" headerRowDxfId="1750" dataDxfId="1749"/>
    <tableColumn id="103" name="Stĺpec102" headerRowDxfId="1748" dataDxfId="1747"/>
    <tableColumn id="102" name="Stĺpec101" headerRowDxfId="1746" dataDxfId="1745"/>
    <tableColumn id="101" name="Stĺpec100" headerRowDxfId="1744" dataDxfId="1743"/>
    <tableColumn id="100" name="Stĺpec99" headerRowDxfId="1742" dataDxfId="1741"/>
    <tableColumn id="75" name="Stĺpec75" headerRowDxfId="1740" dataDxfId="1739"/>
    <tableColumn id="99" name="Stĺpec98" headerRowDxfId="1738" dataDxfId="1737"/>
    <tableColumn id="123" name="Stĺpec123" headerRowDxfId="1736" dataDxfId="1735"/>
    <tableColumn id="138" name="Stĺpec138" headerRowDxfId="1734" dataDxfId="1733"/>
    <tableColumn id="142" name="Stĺpec141" headerRowDxfId="1732" dataDxfId="1731"/>
    <tableColumn id="147" name="Stĺpec146" headerRowDxfId="1730" dataDxfId="1729"/>
    <tableColumn id="146" name="Stĺpec145" headerRowDxfId="1728" dataDxfId="1727"/>
    <tableColumn id="145" name="Stĺpec144" headerRowDxfId="1726" dataDxfId="1725"/>
    <tableColumn id="144" name="Stĺpec143" headerRowDxfId="1724" dataDxfId="1723"/>
    <tableColumn id="143" name="Stĺpec142" headerRowDxfId="1722" dataDxfId="1721"/>
    <tableColumn id="141" name="Stĺpec140" headerRowDxfId="1720" dataDxfId="1719"/>
    <tableColumn id="140" name="Stĺpec139" headerRowDxfId="1718" dataDxfId="1717"/>
    <tableColumn id="139" name="Stĺpec122" headerRowDxfId="1716" dataDxfId="1715"/>
    <tableColumn id="137" name="Stĺpec137" headerRowDxfId="1714" dataDxfId="1713"/>
    <tableColumn id="136" name="Stĺpec136" headerRowDxfId="1712" dataDxfId="1711"/>
    <tableColumn id="135" name="Stĺpec135" headerRowDxfId="1710" dataDxfId="1709"/>
    <tableColumn id="134" name="Stĺpec134" headerRowDxfId="1708" dataDxfId="1707"/>
    <tableColumn id="133" name="Stĺpec133" headerRowDxfId="1706" dataDxfId="1705"/>
    <tableColumn id="230" name="Stĺpec230" headerRowDxfId="1704" dataDxfId="1703"/>
    <tableColumn id="229" name="Stĺpec229" headerRowDxfId="1702" dataDxfId="1701"/>
    <tableColumn id="132" name="Stĺpec132" headerRowDxfId="1700" dataDxfId="1699"/>
    <tableColumn id="131" name="Stĺpec131" headerRowDxfId="1698" dataDxfId="1697"/>
    <tableColumn id="124" name="Stĺpec124" headerRowDxfId="1696" dataDxfId="1695"/>
    <tableColumn id="121" name="Stĺpec121" headerRowDxfId="1694" dataDxfId="1693"/>
    <tableColumn id="120" name="Stĺpec120" headerRowDxfId="1692" dataDxfId="1691"/>
    <tableColumn id="119" name="Stĺpec119" headerRowDxfId="1690" dataDxfId="1689"/>
    <tableColumn id="171" name="Stĺpec171" headerRowDxfId="1688" dataDxfId="1687"/>
    <tableColumn id="170" name="Stĺpec170" headerRowDxfId="1686" dataDxfId="1685"/>
    <tableColumn id="169" name="Stĺpec169" headerRowDxfId="1684" dataDxfId="1683"/>
    <tableColumn id="168" name="Stĺpec168" headerRowDxfId="1682" dataDxfId="1681"/>
    <tableColumn id="167" name="Stĺpec167" headerRowDxfId="1680" dataDxfId="1679"/>
    <tableColumn id="166" name="Stĺpec166" headerRowDxfId="1678" dataDxfId="1677"/>
    <tableColumn id="165" name="Stĺpec165" headerRowDxfId="1676" dataDxfId="1675"/>
    <tableColumn id="164" name="Stĺpec164" headerRowDxfId="1674" dataDxfId="1673"/>
    <tableColumn id="163" name="Stĺpec163" headerRowDxfId="1672" dataDxfId="1671"/>
    <tableColumn id="162" name="Stĺpec162" headerRowDxfId="1670" dataDxfId="1669"/>
    <tableColumn id="161" name="Stĺpec161" headerRowDxfId="1668" dataDxfId="1667"/>
    <tableColumn id="160" name="Stĺpec160" headerRowDxfId="1666" dataDxfId="1665"/>
    <tableColumn id="159" name="Stĺpec159" headerRowDxfId="1664" dataDxfId="1663"/>
    <tableColumn id="158" name="Stĺpec158" headerRowDxfId="1662" dataDxfId="1661"/>
    <tableColumn id="157" name="Stĺpec157" headerRowDxfId="1660" dataDxfId="1659"/>
    <tableColumn id="156" name="Stĺpec156" headerRowDxfId="1658" dataDxfId="1657"/>
    <tableColumn id="155" name="Stĺpec155" headerRowDxfId="1656" dataDxfId="1655"/>
    <tableColumn id="154" name="Stĺpec154" headerRowDxfId="1654" dataDxfId="1653"/>
    <tableColumn id="153" name="Stĺpec153" headerRowDxfId="1652" dataDxfId="1651"/>
    <tableColumn id="152" name="Stĺpec152" headerRowDxfId="1650" dataDxfId="1649"/>
    <tableColumn id="151" name="Stĺpec151" headerRowDxfId="1648" dataDxfId="1647"/>
    <tableColumn id="150" name="Stĺpec150" headerRowDxfId="1646" dataDxfId="1645"/>
    <tableColumn id="149" name="Stĺpec149" headerRowDxfId="1644" dataDxfId="1643"/>
    <tableColumn id="148" name="Stĺpec148" headerRowDxfId="1642" dataDxfId="1641"/>
    <tableColumn id="122" name="Stĺpec147" headerRowDxfId="1640" dataDxfId="1639"/>
    <tableColumn id="118" name="Stĺpec118" headerRowDxfId="1638" dataDxfId="1637"/>
    <tableColumn id="117" name="Stĺpec117" headerRowDxfId="1636" dataDxfId="1635"/>
    <tableColumn id="83" name="Stĺpec116" headerRowDxfId="1634" dataDxfId="1633"/>
    <tableColumn id="181" name="Stĺpec181" headerRowDxfId="1632" dataDxfId="1631"/>
    <tableColumn id="180" name="Stĺpec180" headerRowDxfId="1630" dataDxfId="1629"/>
    <tableColumn id="179" name="Stĺpec179" headerRowDxfId="1628" dataDxfId="1627"/>
    <tableColumn id="178" name="Stĺpec178" headerRowDxfId="1626" dataDxfId="1625"/>
    <tableColumn id="177" name="Stĺpec177" headerRowDxfId="1624" dataDxfId="1623"/>
    <tableColumn id="176" name="Stĺpec176" headerRowDxfId="1622" dataDxfId="1621"/>
    <tableColumn id="175" name="Stĺpec175" headerRowDxfId="1620" dataDxfId="1619"/>
    <tableColumn id="174" name="Stĺpec174" headerRowDxfId="1618" dataDxfId="1617"/>
    <tableColumn id="173" name="Stĺpec173" headerRowDxfId="1616" dataDxfId="1615"/>
    <tableColumn id="221" name="Stĺpec221" headerRowDxfId="1614" dataDxfId="1613"/>
    <tableColumn id="220" name="Stĺpec220" headerRowDxfId="1612" dataDxfId="1611"/>
    <tableColumn id="219" name="Stĺpec219" headerRowDxfId="1610" dataDxfId="1609"/>
    <tableColumn id="218" name="Stĺpec218" headerRowDxfId="1608" dataDxfId="1607"/>
    <tableColumn id="217" name="Stĺpec217" headerRowDxfId="1606" dataDxfId="1605"/>
    <tableColumn id="216" name="Stĺpec216" headerRowDxfId="1604" dataDxfId="1603"/>
    <tableColumn id="215" name="Stĺpec215" headerRowDxfId="1602" dataDxfId="1601"/>
    <tableColumn id="214" name="Stĺpec214" headerRowDxfId="1600" dataDxfId="1599"/>
    <tableColumn id="213" name="Stĺpec213" headerRowDxfId="1598" dataDxfId="1597"/>
    <tableColumn id="212" name="Stĺpec212" headerRowDxfId="1596" dataDxfId="1595"/>
    <tableColumn id="211" name="Stĺpec211" headerRowDxfId="1594" dataDxfId="1593"/>
    <tableColumn id="210" name="Stĺpec210" headerRowDxfId="1592" dataDxfId="1591"/>
    <tableColumn id="209" name="Stĺpec209" headerRowDxfId="1590" dataDxfId="1589"/>
    <tableColumn id="208" name="Stĺpec208" headerRowDxfId="1588" dataDxfId="1587"/>
    <tableColumn id="207" name="Stĺpec207" headerRowDxfId="1586" dataDxfId="1585"/>
    <tableColumn id="206" name="Stĺpec206" headerRowDxfId="1584" dataDxfId="1583"/>
    <tableColumn id="205" name="Stĺpec205" headerRowDxfId="1582" dataDxfId="1581"/>
    <tableColumn id="204" name="Stĺpec204" headerRowDxfId="1580" dataDxfId="1579"/>
    <tableColumn id="203" name="Stĺpec203" headerRowDxfId="1578" dataDxfId="1577"/>
    <tableColumn id="202" name="Stĺpec202" headerRowDxfId="1576" dataDxfId="1575"/>
    <tableColumn id="201" name="Stĺpec201" headerRowDxfId="1574" dataDxfId="1573"/>
    <tableColumn id="200" name="Stĺpec200" headerRowDxfId="1572" dataDxfId="1571"/>
    <tableColumn id="199" name="Stĺpec199" headerRowDxfId="1570" dataDxfId="1569"/>
    <tableColumn id="198" name="Stĺpec198" headerRowDxfId="1568" dataDxfId="1567"/>
    <tableColumn id="197" name="Stĺpec197" headerRowDxfId="1566" dataDxfId="1565"/>
    <tableColumn id="196" name="Stĺpec196" headerRowDxfId="1564" dataDxfId="1563"/>
    <tableColumn id="195" name="Stĺpec195" headerRowDxfId="1562" dataDxfId="1561"/>
    <tableColumn id="194" name="Stĺpec194" headerRowDxfId="1560" dataDxfId="1559"/>
    <tableColumn id="193" name="Stĺpec193" headerRowDxfId="1558" dataDxfId="1557"/>
    <tableColumn id="192" name="Stĺpec192" headerRowDxfId="1556" dataDxfId="1555"/>
    <tableColumn id="191" name="Stĺpec191" headerRowDxfId="1554" dataDxfId="1553"/>
    <tableColumn id="190" name="Stĺpec190" headerRowDxfId="1552" dataDxfId="1551"/>
    <tableColumn id="189" name="Stĺpec189" headerRowDxfId="1550" dataDxfId="1549"/>
    <tableColumn id="188" name="Stĺpec188" headerRowDxfId="1548" dataDxfId="1547"/>
    <tableColumn id="187" name="Stĺpec187" headerRowDxfId="1546" dataDxfId="1545"/>
    <tableColumn id="186" name="Stĺpec186" headerRowDxfId="1544" dataDxfId="1543"/>
    <tableColumn id="228" name="Stĺpec228" headerRowDxfId="1542" dataDxfId="1541"/>
    <tableColumn id="227" name="Stĺpec227" headerRowDxfId="1540" dataDxfId="1539"/>
    <tableColumn id="226" name="Stĺpec226" headerRowDxfId="1538" dataDxfId="1537"/>
    <tableColumn id="225" name="Stĺpec225" headerRowDxfId="1536" dataDxfId="1535"/>
    <tableColumn id="224" name="Stĺpec224" headerRowDxfId="1534" dataDxfId="1533"/>
    <tableColumn id="223" name="Stĺpec223" headerRowDxfId="1532" dataDxfId="1531"/>
    <tableColumn id="222" name="Stĺpec222" headerRowDxfId="1530" dataDxfId="1529"/>
    <tableColumn id="185" name="Stĺpec185" headerRowDxfId="1528" dataDxfId="1527"/>
    <tableColumn id="184" name="Stĺpec184" headerRowDxfId="1526" dataDxfId="1525"/>
    <tableColumn id="183" name="Stĺpec183" headerRowDxfId="1524" dataDxfId="1523"/>
    <tableColumn id="182" name="Stĺpec182" headerRowDxfId="1522" dataDxfId="1521"/>
    <tableColumn id="98" name="Stĺpec97" headerRowDxfId="1520" dataDxfId="1519"/>
    <tableColumn id="172" name="Stĺpec172" headerRowDxfId="1518" dataDxfId="1517"/>
    <tableColumn id="290" name="Stĺpec290" headerRowDxfId="1516" dataDxfId="1515"/>
    <tableColumn id="289" name="Stĺpec289" headerRowDxfId="1514" dataDxfId="1513"/>
    <tableColumn id="288" name="Stĺpec288" headerRowDxfId="1512" dataDxfId="1511"/>
    <tableColumn id="287" name="Stĺpec287" headerRowDxfId="1510" dataDxfId="1509"/>
    <tableColumn id="286" name="Stĺpec286" headerRowDxfId="1508" dataDxfId="1507"/>
    <tableColumn id="285" name="Stĺpec285" headerRowDxfId="1506" dataDxfId="1505"/>
    <tableColumn id="284" name="Stĺpec284" headerRowDxfId="1504" dataDxfId="1503"/>
    <tableColumn id="283" name="Stĺpec283" headerRowDxfId="1502" dataDxfId="1501"/>
    <tableColumn id="282" name="Stĺpec282" headerRowDxfId="1500" dataDxfId="1499"/>
    <tableColumn id="281" name="Stĺpec281" headerRowDxfId="1498" dataDxfId="1497"/>
    <tableColumn id="280" name="Stĺpec280" headerRowDxfId="1496" dataDxfId="1495"/>
    <tableColumn id="279" name="Stĺpec279" headerRowDxfId="1494" dataDxfId="1493"/>
    <tableColumn id="278" name="Stĺpec278" headerRowDxfId="1492" dataDxfId="1491"/>
    <tableColumn id="277" name="Stĺpec277" headerRowDxfId="1490" dataDxfId="1489"/>
    <tableColumn id="276" name="Stĺpec276" headerRowDxfId="1488" dataDxfId="1487"/>
    <tableColumn id="275" name="Stĺpec275" headerRowDxfId="1486" dataDxfId="1485"/>
    <tableColumn id="274" name="Stĺpec274" headerRowDxfId="1484" dataDxfId="1483"/>
    <tableColumn id="273" name="Stĺpec273" headerRowDxfId="1482" dataDxfId="1481"/>
    <tableColumn id="272" name="Stĺpec272" headerRowDxfId="1480" dataDxfId="1479"/>
    <tableColumn id="271" name="Stĺpec271" headerRowDxfId="1478" dataDxfId="1477"/>
    <tableColumn id="270" name="Stĺpec270" headerRowDxfId="1476" dataDxfId="1475"/>
    <tableColumn id="269" name="Stĺpec269" headerRowDxfId="1474" dataDxfId="1473"/>
    <tableColumn id="268" name="Stĺpec268" headerRowDxfId="1472" dataDxfId="1471"/>
    <tableColumn id="267" name="Stĺpec267" headerRowDxfId="1470" dataDxfId="1469"/>
    <tableColumn id="266" name="Stĺpec266" headerRowDxfId="1468" dataDxfId="1467"/>
    <tableColumn id="265" name="Stĺpec265" headerRowDxfId="1466" dataDxfId="1465"/>
    <tableColumn id="264" name="Stĺpec264" headerRowDxfId="1464" dataDxfId="1463"/>
    <tableColumn id="263" name="Stĺpec263" headerRowDxfId="1462" dataDxfId="1461"/>
    <tableColumn id="262" name="Stĺpec262" headerRowDxfId="1460" dataDxfId="1459"/>
    <tableColumn id="261" name="Stĺpec261" headerRowDxfId="1458" dataDxfId="1457"/>
    <tableColumn id="260" name="Stĺpec260" headerRowDxfId="1456" dataDxfId="1455"/>
    <tableColumn id="259" name="Stĺpec259" headerRowDxfId="1454" dataDxfId="1453"/>
    <tableColumn id="258" name="Stĺpec258" headerRowDxfId="1452" dataDxfId="1451"/>
    <tableColumn id="257" name="Stĺpec257" headerRowDxfId="1450" dataDxfId="1449"/>
    <tableColumn id="256" name="Stĺpec256" headerRowDxfId="1448" dataDxfId="1447"/>
    <tableColumn id="255" name="Stĺpec255" headerRowDxfId="1446" dataDxfId="1445"/>
    <tableColumn id="254" name="Stĺpec254" headerRowDxfId="1444" dataDxfId="1443"/>
    <tableColumn id="253" name="Stĺpec253" headerRowDxfId="1442" dataDxfId="1441"/>
    <tableColumn id="252" name="Stĺpec252" headerRowDxfId="1440" dataDxfId="1439"/>
    <tableColumn id="251" name="Stĺpec251" headerRowDxfId="1438" dataDxfId="1437"/>
    <tableColumn id="250" name="Stĺpec250" headerRowDxfId="1436" dataDxfId="1435"/>
    <tableColumn id="249" name="Stĺpec249" headerRowDxfId="1434" dataDxfId="1433"/>
    <tableColumn id="248" name="Stĺpec248" headerRowDxfId="1432" dataDxfId="1431"/>
    <tableColumn id="247" name="Stĺpec247" headerRowDxfId="1430" dataDxfId="1429"/>
    <tableColumn id="246" name="Stĺpec246" headerRowDxfId="1428" dataDxfId="1427"/>
    <tableColumn id="245" name="Stĺpec245" headerRowDxfId="1426" dataDxfId="1425"/>
    <tableColumn id="244" name="Stĺpec244" headerRowDxfId="1424" dataDxfId="1423"/>
    <tableColumn id="243" name="Stĺpec243" headerRowDxfId="1422" dataDxfId="1421"/>
    <tableColumn id="307" name="Stĺpec307" headerRowDxfId="1420" dataDxfId="1419"/>
    <tableColumn id="306" name="Stĺpec306" headerRowDxfId="1418" dataDxfId="1417"/>
    <tableColumn id="305" name="Stĺpec305" headerRowDxfId="1416" dataDxfId="1415"/>
    <tableColumn id="304" name="Stĺpec304" headerRowDxfId="1414" dataDxfId="1413"/>
    <tableColumn id="303" name="Stĺpec303" headerRowDxfId="1412" dataDxfId="1411"/>
    <tableColumn id="302" name="Stĺpec302" headerRowDxfId="1410" dataDxfId="1409"/>
    <tableColumn id="301" name="Stĺpec301" headerRowDxfId="1408" dataDxfId="1407"/>
    <tableColumn id="300" name="Stĺpec300" headerRowDxfId="1406" dataDxfId="1405"/>
    <tableColumn id="299" name="Stĺpec299" headerRowDxfId="1404" dataDxfId="1403"/>
    <tableColumn id="298" name="Stĺpec298" headerRowDxfId="1402" dataDxfId="1401"/>
    <tableColumn id="297" name="Stĺpec297" headerRowDxfId="1400" dataDxfId="1399"/>
    <tableColumn id="296" name="Stĺpec296" headerRowDxfId="1398" dataDxfId="1397"/>
    <tableColumn id="295" name="Stĺpec295" headerRowDxfId="1396" dataDxfId="1395"/>
    <tableColumn id="294" name="Stĺpec294" headerRowDxfId="1394" dataDxfId="1393"/>
    <tableColumn id="293" name="Stĺpec293" headerRowDxfId="1392" dataDxfId="1391"/>
    <tableColumn id="292" name="Stĺpec292" headerRowDxfId="1390" dataDxfId="1389"/>
    <tableColumn id="291" name="Stĺpec291" headerRowDxfId="1388" dataDxfId="1387"/>
    <tableColumn id="242" name="Stĺpec242" headerRowDxfId="1386" dataDxfId="1385"/>
    <tableColumn id="241" name="Stĺpec241" headerRowDxfId="1384" dataDxfId="1383"/>
    <tableColumn id="240" name="Stĺpec240" headerRowDxfId="1382" dataDxfId="1381"/>
    <tableColumn id="239" name="Stĺpec239" headerRowDxfId="1380" dataDxfId="1379"/>
    <tableColumn id="238" name="Stĺpec238" headerRowDxfId="1378" dataDxfId="1377"/>
    <tableColumn id="237" name="Stĺpec237" headerRowDxfId="1376" dataDxfId="1375"/>
    <tableColumn id="236" name="Stĺpec236" headerRowDxfId="1374" dataDxfId="1373"/>
    <tableColumn id="235" name="Stĺpec235" headerRowDxfId="1372" dataDxfId="1371"/>
    <tableColumn id="234" name="Stĺpec234" headerRowDxfId="1370" dataDxfId="1369"/>
    <tableColumn id="233" name="Stĺpec233" headerRowDxfId="1368" dataDxfId="1367"/>
    <tableColumn id="232" name="Stĺpec232" headerRowDxfId="1366" dataDxfId="1365"/>
    <tableColumn id="327" name="Stĺpec327" headerRowDxfId="82" dataDxfId="81"/>
    <tableColumn id="326" name="Stĺpec326" headerRowDxfId="84" dataDxfId="83"/>
    <tableColumn id="325" name="Stĺpec325" headerRowDxfId="86" dataDxfId="85"/>
    <tableColumn id="324" name="Stĺpec324" headerRowDxfId="88" dataDxfId="87"/>
    <tableColumn id="323" name="Stĺpec323" headerRowDxfId="90" dataDxfId="89"/>
    <tableColumn id="322" name="Stĺpec322" headerRowDxfId="92" dataDxfId="91"/>
    <tableColumn id="321" name="Stĺpec321" headerRowDxfId="94" dataDxfId="93"/>
    <tableColumn id="320" name="Stĺpec320" headerRowDxfId="96" dataDxfId="95"/>
    <tableColumn id="319" name="Stĺpec319" headerRowDxfId="98" dataDxfId="97"/>
    <tableColumn id="318" name="Stĺpec318" headerRowDxfId="100" dataDxfId="99"/>
    <tableColumn id="317" name="Stĺpec317" headerRowDxfId="102" dataDxfId="101"/>
    <tableColumn id="316" name="Stĺpec316" headerRowDxfId="104" dataDxfId="103"/>
    <tableColumn id="315" name="Stĺpec315" headerRowDxfId="106" dataDxfId="105"/>
    <tableColumn id="314" name="Stĺpec314" headerRowDxfId="108" dataDxfId="107"/>
    <tableColumn id="313" name="Stĺpec313" headerRowDxfId="110" dataDxfId="109"/>
    <tableColumn id="312" name="Stĺpec312" headerRowDxfId="112" dataDxfId="111"/>
    <tableColumn id="311" name="Stĺpec311" headerRowDxfId="114" dataDxfId="113"/>
    <tableColumn id="310" name="Stĺpec310" headerRowDxfId="116" dataDxfId="115"/>
    <tableColumn id="309" name="Stĺpec309" headerRowDxfId="118" dataDxfId="117"/>
    <tableColumn id="308" name="Stĺpec308" headerRowDxfId="120" dataDxfId="119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id="9" name="Tabuľka110" displayName="Tabuľka110" ref="A8:LF22" headerRowCount="0" totalsRowShown="0">
  <tableColumns count="318">
    <tableColumn id="1" name="Stĺpec1" headerRowDxfId="1364" dataDxfId="1363"/>
    <tableColumn id="2" name="Stĺpec2" headerRowDxfId="1362" dataDxfId="1361"/>
    <tableColumn id="3" name="Stĺpec3" headerRowDxfId="1360" dataDxfId="1359"/>
    <tableColumn id="4" name="Stĺpec4" headerRowDxfId="1358"/>
    <tableColumn id="5" name="Stĺpec5" headerRowDxfId="1357" dataDxfId="1356"/>
    <tableColumn id="6" name="Stĺpec6" headerRowDxfId="1355" dataDxfId="1354"/>
    <tableColumn id="7" name="Stĺpec7" headerRowDxfId="1353"/>
    <tableColumn id="8" name="Stĺpec8" headerRowDxfId="1352" dataDxfId="1351"/>
    <tableColumn id="9" name="Stĺpec9" headerRowDxfId="1350" dataDxfId="1349"/>
    <tableColumn id="10" name="Stĺpec10" headerRowDxfId="1348"/>
    <tableColumn id="11" name="Stĺpec11" headerRowDxfId="1347"/>
    <tableColumn id="12" name="Stĺpec12" headerRowDxfId="1346"/>
    <tableColumn id="13" name="Stĺpec13" headerRowDxfId="1345"/>
    <tableColumn id="14" name="Stĺpec14" headerRowDxfId="1344"/>
    <tableColumn id="15" name="Stĺpec15" headerRowDxfId="1343"/>
    <tableColumn id="16" name="Stĺpec16" headerRowDxfId="1342"/>
    <tableColumn id="17" name="Stĺpec17" headerRowDxfId="1341"/>
    <tableColumn id="18" name="Stĺpec18" headerRowDxfId="1340"/>
    <tableColumn id="19" name="Stĺpec19" headerRowDxfId="1339"/>
    <tableColumn id="20" name="Stĺpec20" headerRowDxfId="1338"/>
    <tableColumn id="21" name="Stĺpec21" headerRowDxfId="1337"/>
    <tableColumn id="22" name="Stĺpec22" headerRowDxfId="1336"/>
    <tableColumn id="23" name="Stĺpec23" headerRowDxfId="1335"/>
    <tableColumn id="24" name="Stĺpec24" headerRowDxfId="1334"/>
    <tableColumn id="25" name="Stĺpec25" headerRowDxfId="1333"/>
    <tableColumn id="26" name="Stĺpec26" headerRowDxfId="1332"/>
    <tableColumn id="27" name="Stĺpec27" headerRowDxfId="1331"/>
    <tableColumn id="28" name="Stĺpec28" headerRowDxfId="1330"/>
    <tableColumn id="29" name="Stĺpec29" headerRowDxfId="1329"/>
    <tableColumn id="30" name="Stĺpec30" headerRowDxfId="1328"/>
    <tableColumn id="31" name="Stĺpec31" headerRowDxfId="1327"/>
    <tableColumn id="32" name="Stĺpec32" headerRowDxfId="1326"/>
    <tableColumn id="33" name="Stĺpec33" headerRowDxfId="1325"/>
    <tableColumn id="34" name="Stĺpec34" headerRowDxfId="1324"/>
    <tableColumn id="35" name="Stĺpec35" headerRowDxfId="1323"/>
    <tableColumn id="36" name="Stĺpec36" headerRowDxfId="1322"/>
    <tableColumn id="37" name="Stĺpec37" headerRowDxfId="1321"/>
    <tableColumn id="38" name="Stĺpec38" headerRowDxfId="1320"/>
    <tableColumn id="39" name="Stĺpec39" headerRowDxfId="1319"/>
    <tableColumn id="40" name="Stĺpec40" headerRowDxfId="1318"/>
    <tableColumn id="41" name="Stĺpec41" headerRowDxfId="1317"/>
    <tableColumn id="126" name="Stĺpec126" headerRowDxfId="1316"/>
    <tableColumn id="125" name="Stĺpec125" headerRowDxfId="1315"/>
    <tableColumn id="42" name="Stĺpec42" headerRowDxfId="1314"/>
    <tableColumn id="43" name="Stĺpec43" headerRowDxfId="1313"/>
    <tableColumn id="44" name="Stĺpec44" headerRowDxfId="1312"/>
    <tableColumn id="45" name="Stĺpec45" headerRowDxfId="1311"/>
    <tableColumn id="46" name="Stĺpec46" headerRowDxfId="1310"/>
    <tableColumn id="47" name="Stĺpec47" headerRowDxfId="1309"/>
    <tableColumn id="48" name="Stĺpec48" headerRowDxfId="1308"/>
    <tableColumn id="49" name="Stĺpec49" headerRowDxfId="1307"/>
    <tableColumn id="50" name="Stĺpec50" headerRowDxfId="1306"/>
    <tableColumn id="51" name="Stĺpec51" headerRowDxfId="1305"/>
    <tableColumn id="52" name="Stĺpec52" headerRowDxfId="1304"/>
    <tableColumn id="53" name="Stĺpec53" headerRowDxfId="1303"/>
    <tableColumn id="54" name="Stĺpec54" headerRowDxfId="1302"/>
    <tableColumn id="55" name="Stĺpec55" headerRowDxfId="1301"/>
    <tableColumn id="56" name="Stĺpec56" headerRowDxfId="1300"/>
    <tableColumn id="57" name="Stĺpec57" headerRowDxfId="1299"/>
    <tableColumn id="129" name="Stĺpec129" headerRowDxfId="1298"/>
    <tableColumn id="128" name="Stĺpec128" headerRowDxfId="1297"/>
    <tableColumn id="127" name="Stĺpec127" headerRowDxfId="1296"/>
    <tableColumn id="58" name="Stĺpec58" headerRowDxfId="1295"/>
    <tableColumn id="59" name="Stĺpec59" headerRowDxfId="1294"/>
    <tableColumn id="130" name="Stĺpec130" headerRowDxfId="1293"/>
    <tableColumn id="60" name="Stĺpec60" headerRowDxfId="1292"/>
    <tableColumn id="61" name="Stĺpec61" headerRowDxfId="1291"/>
    <tableColumn id="62" name="Stĺpec62" headerRowDxfId="1290"/>
    <tableColumn id="63" name="Stĺpec63" headerRowDxfId="1289"/>
    <tableColumn id="64" name="Stĺpec64" headerRowDxfId="1288"/>
    <tableColumn id="65" name="Stĺpec65" headerRowDxfId="1287"/>
    <tableColumn id="66" name="Stĺpec66" headerRowDxfId="1286"/>
    <tableColumn id="67" name="Stĺpec67" headerRowDxfId="1285"/>
    <tableColumn id="84" name="Stĺpec84" headerRowDxfId="1284" dataDxfId="1283"/>
    <tableColumn id="90" name="Stĺpec90" headerRowDxfId="1282" dataDxfId="1281"/>
    <tableColumn id="89" name="Stĺpec89" headerRowDxfId="1280" dataDxfId="1279"/>
    <tableColumn id="95" name="Stĺpec95" headerRowDxfId="1278" dataDxfId="1277"/>
    <tableColumn id="94" name="Stĺpec94" headerRowDxfId="1276" dataDxfId="1275"/>
    <tableColumn id="93" name="Stĺpec93" headerRowDxfId="1274" dataDxfId="1273"/>
    <tableColumn id="92" name="Stĺpec92" headerRowDxfId="1272" dataDxfId="1271"/>
    <tableColumn id="91" name="Stĺpec91" headerRowDxfId="1270" dataDxfId="1269"/>
    <tableColumn id="88" name="Stĺpec88" headerRowDxfId="1268" dataDxfId="1267"/>
    <tableColumn id="87" name="Stĺpec87" headerRowDxfId="1266" dataDxfId="1265"/>
    <tableColumn id="86" name="Stĺpec86" headerRowDxfId="1264" dataDxfId="1263"/>
    <tableColumn id="85" name="Stĺpec85" headerRowDxfId="1262" dataDxfId="1261"/>
    <tableColumn id="83" name="Stĺpec83" headerRowDxfId="1260" dataDxfId="1259"/>
    <tableColumn id="82" name="Stĺpec82" headerRowDxfId="1258" dataDxfId="1257"/>
    <tableColumn id="81" name="Stĺpec81" headerRowDxfId="1256" dataDxfId="1255"/>
    <tableColumn id="80" name="Stĺpec80" headerRowDxfId="1254" dataDxfId="1253"/>
    <tableColumn id="79" name="Stĺpec79" headerRowDxfId="1252" dataDxfId="1251"/>
    <tableColumn id="78" name="Stĺpec78" headerRowDxfId="1250" dataDxfId="1249"/>
    <tableColumn id="77" name="Stĺpec77" headerRowDxfId="1248" dataDxfId="1247"/>
    <tableColumn id="115" name="Stĺpec115" headerRowDxfId="1246" dataDxfId="1245"/>
    <tableColumn id="114" name="Stĺpec114" headerRowDxfId="1244" dataDxfId="1243"/>
    <tableColumn id="113" name="Stĺpec113" headerRowDxfId="1242" dataDxfId="1241"/>
    <tableColumn id="112" name="Stĺpec112" headerRowDxfId="1240" dataDxfId="1239"/>
    <tableColumn id="111" name="Stĺpec111" headerRowDxfId="1238" dataDxfId="1237"/>
    <tableColumn id="110" name="Stĺpec110" headerRowDxfId="1236" dataDxfId="1235"/>
    <tableColumn id="109" name="Stĺpec109" headerRowDxfId="1234" dataDxfId="1233"/>
    <tableColumn id="108" name="Stĺpec108" headerRowDxfId="1232" dataDxfId="1231"/>
    <tableColumn id="107" name="Stĺpec107" headerRowDxfId="1230" dataDxfId="1229"/>
    <tableColumn id="106" name="Stĺpec106" headerRowDxfId="1228" dataDxfId="1227"/>
    <tableColumn id="105" name="Stĺpec105" headerRowDxfId="1226" dataDxfId="1225"/>
    <tableColumn id="104" name="Stĺpec104" headerRowDxfId="1224" dataDxfId="1223"/>
    <tableColumn id="103" name="Stĺpec103" headerRowDxfId="1222" dataDxfId="1221"/>
    <tableColumn id="102" name="Stĺpec102" headerRowDxfId="1220" dataDxfId="1219"/>
    <tableColumn id="101" name="Stĺpec101" headerRowDxfId="1218" dataDxfId="1217"/>
    <tableColumn id="100" name="Stĺpec100" headerRowDxfId="1216" dataDxfId="1215"/>
    <tableColumn id="99" name="Stĺpec99" headerRowDxfId="1214" dataDxfId="1213"/>
    <tableColumn id="98" name="Stĺpec98" headerRowDxfId="1212" dataDxfId="1211"/>
    <tableColumn id="97" name="Stĺpec97" headerRowDxfId="1210" dataDxfId="1209"/>
    <tableColumn id="76" name="Stĺpec76" headerRowDxfId="1208" dataDxfId="1207"/>
    <tableColumn id="119" name="Stĺpec119" headerRowDxfId="1206" dataDxfId="1205"/>
    <tableColumn id="141" name="Stĺpec141" headerRowDxfId="1204" dataDxfId="1203"/>
    <tableColumn id="140" name="Stĺpec140" headerRowDxfId="1202" dataDxfId="1201"/>
    <tableColumn id="139" name="Stĺpec139" headerRowDxfId="1200" dataDxfId="1199"/>
    <tableColumn id="138" name="Stĺpec138" headerRowDxfId="1198" dataDxfId="1197"/>
    <tableColumn id="137" name="Stĺpec137" headerRowDxfId="1196" dataDxfId="1195"/>
    <tableColumn id="136" name="Stĺpec136" headerRowDxfId="1194" dataDxfId="1193"/>
    <tableColumn id="135" name="Stĺpec135" headerRowDxfId="1192" dataDxfId="1191"/>
    <tableColumn id="134" name="Stĺpec134" headerRowDxfId="1190" dataDxfId="1189"/>
    <tableColumn id="133" name="Stĺpec133" headerRowDxfId="1188" dataDxfId="1187"/>
    <tableColumn id="132" name="Stĺpec132" headerRowDxfId="1186" dataDxfId="1185"/>
    <tableColumn id="131" name="Stĺpec131" headerRowDxfId="1184" dataDxfId="1183"/>
    <tableColumn id="124" name="Stĺpec124" headerRowDxfId="1182" dataDxfId="1181"/>
    <tableColumn id="123" name="Stĺpec123" headerRowDxfId="1180" dataDxfId="1179"/>
    <tableColumn id="122" name="Stĺpec122" headerRowDxfId="1178" dataDxfId="1177"/>
    <tableColumn id="121" name="Stĺpec121" headerRowDxfId="1176" dataDxfId="1175"/>
    <tableColumn id="236" name="Stĺpec236" headerRowDxfId="1174" dataDxfId="1173"/>
    <tableColumn id="235" name="Stĺpec235" headerRowDxfId="1172" dataDxfId="1171"/>
    <tableColumn id="120" name="Stĺpec120" headerRowDxfId="1170" dataDxfId="1169"/>
    <tableColumn id="118" name="Stĺpec118" headerRowDxfId="1168" dataDxfId="1167"/>
    <tableColumn id="147" name="Stĺpec147" headerRowDxfId="1166" dataDxfId="1165"/>
    <tableColumn id="146" name="Stĺpec146" headerRowDxfId="1164" dataDxfId="1163"/>
    <tableColumn id="145" name="Stĺpec145" headerRowDxfId="1162" dataDxfId="1161"/>
    <tableColumn id="144" name="Stĺpec144" headerRowDxfId="1160" dataDxfId="1159"/>
    <tableColumn id="149" name="Stĺpec149" headerRowDxfId="1158" dataDxfId="1157"/>
    <tableColumn id="148" name="Stĺpec148" headerRowDxfId="1156" dataDxfId="1155"/>
    <tableColumn id="143" name="Stĺpec143" headerRowDxfId="1154" dataDxfId="1153"/>
    <tableColumn id="142" name="Stĺpec142" headerRowDxfId="1152" dataDxfId="1151"/>
    <tableColumn id="117" name="Stĺpec117" headerRowDxfId="1150" dataDxfId="1149"/>
    <tableColumn id="116" name="Stĺpec116" headerRowDxfId="1148" dataDxfId="1147"/>
    <tableColumn id="96" name="Stĺpec96" headerRowDxfId="1146" dataDxfId="1145"/>
    <tableColumn id="174" name="Stĺpec174" headerRowDxfId="1144" dataDxfId="1143"/>
    <tableColumn id="173" name="Stĺpec173" headerRowDxfId="1142" dataDxfId="1141"/>
    <tableColumn id="172" name="Stĺpec172" headerRowDxfId="1140" dataDxfId="1139"/>
    <tableColumn id="171" name="Stĺpec171" headerRowDxfId="1138" dataDxfId="1137"/>
    <tableColumn id="170" name="Stĺpec170" headerRowDxfId="1136" dataDxfId="1135"/>
    <tableColumn id="169" name="Stĺpec169" headerRowDxfId="1134" dataDxfId="1133"/>
    <tableColumn id="168" name="Stĺpec168" headerRowDxfId="1132" dataDxfId="1131"/>
    <tableColumn id="167" name="Stĺpec167" headerRowDxfId="1130" dataDxfId="1129"/>
    <tableColumn id="166" name="Stĺpec166" headerRowDxfId="1128" dataDxfId="1127"/>
    <tableColumn id="165" name="Stĺpec165" headerRowDxfId="1126" dataDxfId="1125"/>
    <tableColumn id="164" name="Stĺpec164" headerRowDxfId="1124" dataDxfId="1123"/>
    <tableColumn id="163" name="Stĺpec163" headerRowDxfId="1122" dataDxfId="1121"/>
    <tableColumn id="162" name="Stĺpec162" headerRowDxfId="1120" dataDxfId="1119"/>
    <tableColumn id="161" name="Stĺpec161" headerRowDxfId="1118" dataDxfId="1117"/>
    <tableColumn id="160" name="Stĺpec160" headerRowDxfId="1116" dataDxfId="1115"/>
    <tableColumn id="159" name="Stĺpec159" headerRowDxfId="1114" dataDxfId="1113"/>
    <tableColumn id="158" name="Stĺpec158" headerRowDxfId="1112" dataDxfId="1111"/>
    <tableColumn id="157" name="Stĺpec157" headerRowDxfId="1110" dataDxfId="1109"/>
    <tableColumn id="156" name="Stĺpec156" headerRowDxfId="1108" dataDxfId="1107"/>
    <tableColumn id="155" name="Stĺpec155" headerRowDxfId="1106" dataDxfId="1105"/>
    <tableColumn id="154" name="Stĺpec154" headerRowDxfId="1104" dataDxfId="1103"/>
    <tableColumn id="153" name="Stĺpec153" headerRowDxfId="1102" dataDxfId="1101"/>
    <tableColumn id="152" name="Stĺpec152" headerRowDxfId="1100" dataDxfId="1099"/>
    <tableColumn id="151" name="Stĺpec151" headerRowDxfId="1098" dataDxfId="1097"/>
    <tableColumn id="150" name="Stĺpec150" headerRowDxfId="1096" dataDxfId="1095"/>
    <tableColumn id="184" name="Stĺpec184" headerRowDxfId="1094" dataDxfId="1093"/>
    <tableColumn id="183" name="Stĺpec183" headerRowDxfId="1092" dataDxfId="1091"/>
    <tableColumn id="182" name="Stĺpec182" headerRowDxfId="1090" dataDxfId="1089"/>
    <tableColumn id="181" name="Stĺpec181" headerRowDxfId="1088" dataDxfId="1087"/>
    <tableColumn id="180" name="Stĺpec180" headerRowDxfId="1086" dataDxfId="1085"/>
    <tableColumn id="234" name="Stĺpec234" headerRowDxfId="1084" dataDxfId="1083"/>
    <tableColumn id="233" name="Stĺpec233" headerRowDxfId="1082" dataDxfId="1081"/>
    <tableColumn id="232" name="Stĺpec232" headerRowDxfId="1080" dataDxfId="1079"/>
    <tableColumn id="231" name="Stĺpec231" headerRowDxfId="1078" dataDxfId="1077"/>
    <tableColumn id="230" name="Stĺpec230" headerRowDxfId="1076" dataDxfId="1075"/>
    <tableColumn id="229" name="Stĺpec229" headerRowDxfId="1074" dataDxfId="1073"/>
    <tableColumn id="228" name="Stĺpec228" headerRowDxfId="1072" dataDxfId="1071"/>
    <tableColumn id="227" name="Stĺpec227" headerRowDxfId="1070" dataDxfId="1069"/>
    <tableColumn id="226" name="Stĺpec226" headerRowDxfId="1068" dataDxfId="1067"/>
    <tableColumn id="225" name="Stĺpec225" headerRowDxfId="1066" dataDxfId="1065"/>
    <tableColumn id="224" name="Stĺpec224" headerRowDxfId="1064" dataDxfId="1063"/>
    <tableColumn id="223" name="Stĺpec223" headerRowDxfId="1062" dataDxfId="1061"/>
    <tableColumn id="222" name="Stĺpec222" headerRowDxfId="1060" dataDxfId="1059"/>
    <tableColumn id="221" name="Stĺpec221" headerRowDxfId="1058" dataDxfId="1057"/>
    <tableColumn id="220" name="Stĺpec220" headerRowDxfId="1056" dataDxfId="1055"/>
    <tableColumn id="219" name="Stĺpec219" headerRowDxfId="1054" dataDxfId="1053"/>
    <tableColumn id="218" name="Stĺpec218" headerRowDxfId="1052" dataDxfId="1051"/>
    <tableColumn id="217" name="Stĺpec217" headerRowDxfId="1050" dataDxfId="1049"/>
    <tableColumn id="216" name="Stĺpec216" headerRowDxfId="1048" dataDxfId="1047"/>
    <tableColumn id="215" name="Stĺpec215" headerRowDxfId="1046" dataDxfId="1045"/>
    <tableColumn id="214" name="Stĺpec214" headerRowDxfId="1044" dataDxfId="1043"/>
    <tableColumn id="213" name="Stĺpec213" headerRowDxfId="1042" dataDxfId="1041"/>
    <tableColumn id="212" name="Stĺpec212" headerRowDxfId="1040" dataDxfId="1039"/>
    <tableColumn id="211" name="Stĺpec211" headerRowDxfId="1038" dataDxfId="1037"/>
    <tableColumn id="210" name="Stĺpec210" headerRowDxfId="1036" dataDxfId="1035"/>
    <tableColumn id="209" name="Stĺpec209" headerRowDxfId="1034" dataDxfId="1033"/>
    <tableColumn id="208" name="Stĺpec208" headerRowDxfId="1032" dataDxfId="1031"/>
    <tableColumn id="207" name="Stĺpec207" headerRowDxfId="1030" dataDxfId="1029"/>
    <tableColumn id="206" name="Stĺpec206" headerRowDxfId="1028" dataDxfId="1027"/>
    <tableColumn id="205" name="Stĺpec205" headerRowDxfId="1026" dataDxfId="1025"/>
    <tableColumn id="204" name="Stĺpec204" headerRowDxfId="1024" dataDxfId="1023"/>
    <tableColumn id="203" name="Stĺpec203" headerRowDxfId="1022" dataDxfId="1021"/>
    <tableColumn id="202" name="Stĺpec202" headerRowDxfId="1020" dataDxfId="1019"/>
    <tableColumn id="201" name="Stĺpec201" headerRowDxfId="1018" dataDxfId="1017"/>
    <tableColumn id="200" name="Stĺpec200" headerRowDxfId="1016" dataDxfId="1015"/>
    <tableColumn id="199" name="Stĺpec199" headerRowDxfId="1014" dataDxfId="1013"/>
    <tableColumn id="198" name="Stĺpec198" headerRowDxfId="1012" dataDxfId="1011"/>
    <tableColumn id="197" name="Stĺpec197" headerRowDxfId="1010" dataDxfId="1009"/>
    <tableColumn id="196" name="Stĺpec196" headerRowDxfId="1008" dataDxfId="1007"/>
    <tableColumn id="195" name="Stĺpec195" headerRowDxfId="1006" dataDxfId="1005"/>
    <tableColumn id="194" name="Stĺpec194" headerRowDxfId="1004" dataDxfId="1003"/>
    <tableColumn id="193" name="Stĺpec193" headerRowDxfId="1002" dataDxfId="1001"/>
    <tableColumn id="192" name="Stĺpec192" headerRowDxfId="1000" dataDxfId="999"/>
    <tableColumn id="191" name="Stĺpec191" headerRowDxfId="998" dataDxfId="997"/>
    <tableColumn id="190" name="Stĺpec190" headerRowDxfId="996" dataDxfId="995"/>
    <tableColumn id="189" name="Stĺpec189" headerRowDxfId="994" dataDxfId="993"/>
    <tableColumn id="188" name="Stĺpec188" headerRowDxfId="992" dataDxfId="991"/>
    <tableColumn id="187" name="Stĺpec187" headerRowDxfId="990" dataDxfId="989"/>
    <tableColumn id="186" name="Stĺpec186" headerRowDxfId="988" dataDxfId="987"/>
    <tableColumn id="185" name="Stĺpec185" headerRowDxfId="986" dataDxfId="985"/>
    <tableColumn id="179" name="Stĺpec179" headerRowDxfId="984" dataDxfId="983"/>
    <tableColumn id="297" name="Stĺpec297" headerRowDxfId="982" dataDxfId="981"/>
    <tableColumn id="296" name="Stĺpec296" headerRowDxfId="980" dataDxfId="979"/>
    <tableColumn id="295" name="Stĺpec295" headerRowDxfId="978" dataDxfId="977"/>
    <tableColumn id="294" name="Stĺpec294" headerRowDxfId="976" dataDxfId="975"/>
    <tableColumn id="293" name="Stĺpec293" headerRowDxfId="974" dataDxfId="973"/>
    <tableColumn id="292" name="Stĺpec292" headerRowDxfId="972" dataDxfId="971"/>
    <tableColumn id="291" name="Stĺpec291" headerRowDxfId="970" dataDxfId="969"/>
    <tableColumn id="290" name="Stĺpec290" headerRowDxfId="968" dataDxfId="967"/>
    <tableColumn id="289" name="Stĺpec289" headerRowDxfId="966" dataDxfId="965"/>
    <tableColumn id="288" name="Stĺpec288" headerRowDxfId="964" dataDxfId="963"/>
    <tableColumn id="287" name="Stĺpec287" headerRowDxfId="962" dataDxfId="961"/>
    <tableColumn id="286" name="Stĺpec286" headerRowDxfId="960" dataDxfId="959"/>
    <tableColumn id="285" name="Stĺpec285" headerRowDxfId="958" dataDxfId="957"/>
    <tableColumn id="284" name="Stĺpec284" headerRowDxfId="956" dataDxfId="955"/>
    <tableColumn id="283" name="Stĺpec283" headerRowDxfId="954" dataDxfId="953"/>
    <tableColumn id="282" name="Stĺpec282" headerRowDxfId="952" dataDxfId="951"/>
    <tableColumn id="281" name="Stĺpec281" headerRowDxfId="950" dataDxfId="949"/>
    <tableColumn id="280" name="Stĺpec280" headerRowDxfId="948" dataDxfId="947"/>
    <tableColumn id="279" name="Stĺpec279" headerRowDxfId="946" dataDxfId="945"/>
    <tableColumn id="278" name="Stĺpec278" headerRowDxfId="944" dataDxfId="943"/>
    <tableColumn id="277" name="Stĺpec277" headerRowDxfId="942" dataDxfId="941"/>
    <tableColumn id="276" name="Stĺpec276" headerRowDxfId="940" dataDxfId="939"/>
    <tableColumn id="275" name="Stĺpec275" headerRowDxfId="938" dataDxfId="937"/>
    <tableColumn id="274" name="Stĺpec274" headerRowDxfId="936" dataDxfId="935"/>
    <tableColumn id="273" name="Stĺpec273" headerRowDxfId="934" dataDxfId="933"/>
    <tableColumn id="272" name="Stĺpec272" headerRowDxfId="932" dataDxfId="931"/>
    <tableColumn id="271" name="Stĺpec271" headerRowDxfId="930" dataDxfId="929"/>
    <tableColumn id="270" name="Stĺpec270" headerRowDxfId="928" dataDxfId="927"/>
    <tableColumn id="269" name="Stĺpec269" headerRowDxfId="926" dataDxfId="925"/>
    <tableColumn id="268" name="Stĺpec268" headerRowDxfId="924" dataDxfId="923"/>
    <tableColumn id="267" name="Stĺpec267" headerRowDxfId="922" dataDxfId="921"/>
    <tableColumn id="266" name="Stĺpec266" headerRowDxfId="920" dataDxfId="919"/>
    <tableColumn id="265" name="Stĺpec265" headerRowDxfId="918" dataDxfId="917"/>
    <tableColumn id="264" name="Stĺpec264" headerRowDxfId="916" dataDxfId="915"/>
    <tableColumn id="263" name="Stĺpec263" headerRowDxfId="914" dataDxfId="913"/>
    <tableColumn id="262" name="Stĺpec262" headerRowDxfId="912" dataDxfId="911"/>
    <tableColumn id="261" name="Stĺpec261" headerRowDxfId="910" dataDxfId="909"/>
    <tableColumn id="260" name="Stĺpec260" headerRowDxfId="908" dataDxfId="907"/>
    <tableColumn id="259" name="Stĺpec259" headerRowDxfId="906" dataDxfId="905"/>
    <tableColumn id="258" name="Stĺpec258" headerRowDxfId="904" dataDxfId="903"/>
    <tableColumn id="257" name="Stĺpec257" headerRowDxfId="902" dataDxfId="901"/>
    <tableColumn id="256" name="Stĺpec256" headerRowDxfId="900" dataDxfId="899"/>
    <tableColumn id="255" name="Stĺpec255" headerRowDxfId="898" dataDxfId="897"/>
    <tableColumn id="254" name="Stĺpec254" headerRowDxfId="896" dataDxfId="895"/>
    <tableColumn id="320" name="Stĺpec320" headerRowDxfId="894" dataDxfId="893"/>
    <tableColumn id="319" name="Stĺpec319" headerRowDxfId="892" dataDxfId="891"/>
    <tableColumn id="318" name="Stĺpec318" headerRowDxfId="890" dataDxfId="889"/>
    <tableColumn id="317" name="Stĺpec317" headerRowDxfId="888" dataDxfId="887"/>
    <tableColumn id="316" name="Stĺpec316" headerRowDxfId="886" dataDxfId="885"/>
    <tableColumn id="315" name="Stĺpec315" headerRowDxfId="884" dataDxfId="883"/>
    <tableColumn id="314" name="Stĺpec314" headerRowDxfId="882" dataDxfId="881"/>
    <tableColumn id="313" name="Stĺpec313" headerRowDxfId="880" dataDxfId="879"/>
    <tableColumn id="312" name="Stĺpec312" headerRowDxfId="878" dataDxfId="877"/>
    <tableColumn id="311" name="Stĺpec311" headerRowDxfId="876" dataDxfId="875"/>
    <tableColumn id="310" name="Stĺpec310" headerRowDxfId="874" dataDxfId="873"/>
    <tableColumn id="309" name="Stĺpec309" headerRowDxfId="872" dataDxfId="871"/>
    <tableColumn id="308" name="Stĺpec308" headerRowDxfId="870" dataDxfId="869"/>
    <tableColumn id="307" name="Stĺpec307" headerRowDxfId="868" dataDxfId="867"/>
    <tableColumn id="306" name="Stĺpec306" headerRowDxfId="866" dataDxfId="865"/>
    <tableColumn id="305" name="Stĺpec305" headerRowDxfId="864" dataDxfId="863"/>
    <tableColumn id="304" name="Stĺpec304" headerRowDxfId="862" dataDxfId="861"/>
    <tableColumn id="303" name="Stĺpec303" headerRowDxfId="860" dataDxfId="859"/>
    <tableColumn id="302" name="Stĺpec302" headerRowDxfId="858" dataDxfId="857"/>
    <tableColumn id="301" name="Stĺpec301" headerRowDxfId="856" dataDxfId="855"/>
    <tableColumn id="300" name="Stĺpec300" headerRowDxfId="854" dataDxfId="853"/>
    <tableColumn id="299" name="Stĺpec299" headerRowDxfId="852" dataDxfId="851"/>
    <tableColumn id="298" name="Stĺpec298" headerRowDxfId="850" dataDxfId="849"/>
    <tableColumn id="253" name="Stĺpec253" headerRowDxfId="848" dataDxfId="847"/>
    <tableColumn id="252" name="Stĺpec252" headerRowDxfId="846" dataDxfId="845"/>
    <tableColumn id="251" name="Stĺpec251" headerRowDxfId="844" dataDxfId="843"/>
    <tableColumn id="250" name="Stĺpec250" headerRowDxfId="842" dataDxfId="841"/>
    <tableColumn id="249" name="Stĺpec249" headerRowDxfId="840" dataDxfId="839"/>
    <tableColumn id="248" name="Stĺpec248" headerRowDxfId="838" dataDxfId="837"/>
    <tableColumn id="247" name="Stĺpec247" headerRowDxfId="836" dataDxfId="835"/>
    <tableColumn id="246" name="Stĺpec246" headerRowDxfId="834" dataDxfId="833"/>
    <tableColumn id="245" name="Stĺpec245" headerRowDxfId="832" dataDxfId="831"/>
    <tableColumn id="244" name="Stĺpec244" headerRowDxfId="830" dataDxfId="829"/>
    <tableColumn id="243" name="Stĺpec243" headerRowDxfId="828" dataDxfId="827"/>
    <tableColumn id="242" name="Stĺpec242" headerRowDxfId="826" dataDxfId="825"/>
    <tableColumn id="241" name="Stĺpec241" headerRowDxfId="824" dataDxfId="823"/>
    <tableColumn id="240" name="Stĺpec240" headerRowDxfId="822" dataDxfId="821"/>
    <tableColumn id="239" name="Stĺpec239" headerRowDxfId="820" dataDxfId="819"/>
    <tableColumn id="238" name="Stĺpec238" headerRowDxfId="818" dataDxfId="817"/>
    <tableColumn id="237" name="Stĺpec237" headerRowDxfId="816" dataDxfId="815"/>
    <tableColumn id="178" name="Stĺpec178" headerRowDxfId="814" dataDxfId="813"/>
    <tableColumn id="177" name="Stĺpec177" headerRowDxfId="812" dataDxfId="811"/>
    <tableColumn id="176" name="Stĺpec176" headerRowDxfId="810" dataDxfId="809"/>
    <tableColumn id="75" name="Stĺpec75" headerRowDxfId="808" dataDxfId="807"/>
    <tableColumn id="175" name="Stĺpec175" headerRowDxfId="806" dataDxfId="805"/>
    <tableColumn id="74" name="Stĺpec74" headerRowDxfId="804" dataDxfId="803"/>
    <tableColumn id="328" name="Stĺpec328" headerRowDxfId="74" dataDxfId="73"/>
    <tableColumn id="327" name="Stĺpec327" headerRowDxfId="76" dataDxfId="75"/>
    <tableColumn id="326" name="Stĺpec326" headerRowDxfId="78" dataDxfId="77"/>
    <tableColumn id="325" name="Stĺpec325" headerRowDxfId="80" dataDxfId="79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id="3" name="Tabuľka3" displayName="Tabuľka3" ref="A8:LG180" headerRowCount="0" totalsRowShown="0">
  <tableColumns count="319">
    <tableColumn id="1" name="Stĺpec1" dataDxfId="802"/>
    <tableColumn id="2" name="Stĺpec2" dataDxfId="801"/>
    <tableColumn id="3" name="Stĺpec3" dataDxfId="800"/>
    <tableColumn id="4" name="Stĺpec4" dataDxfId="799"/>
    <tableColumn id="5" name="Stĺpec5"/>
    <tableColumn id="6" name="Stĺpec6" dataDxfId="798"/>
    <tableColumn id="7" name="Stĺpec7" dataDxfId="797"/>
    <tableColumn id="8" name="Stĺpec8"/>
    <tableColumn id="9" name="Stĺpec9" dataDxfId="796"/>
    <tableColumn id="10" name="Stĺpec10" dataDxfId="795"/>
    <tableColumn id="11" name="Stĺpec11" dataDxfId="794"/>
    <tableColumn id="12" name="Stĺpec12" dataDxfId="793"/>
    <tableColumn id="13" name="Stĺpec13" dataDxfId="792"/>
    <tableColumn id="14" name="Stĺpec14" dataDxfId="791"/>
    <tableColumn id="15" name="Stĺpec15" dataDxfId="790"/>
    <tableColumn id="16" name="Stĺpec16" dataDxfId="789"/>
    <tableColumn id="17" name="Stĺpec17" dataDxfId="788"/>
    <tableColumn id="18" name="Stĺpec18" dataDxfId="787"/>
    <tableColumn id="19" name="Stĺpec19" dataDxfId="786"/>
    <tableColumn id="20" name="Stĺpec20" dataDxfId="785"/>
    <tableColumn id="21" name="Stĺpec21" dataDxfId="784"/>
    <tableColumn id="22" name="Stĺpec22" dataDxfId="783"/>
    <tableColumn id="23" name="Stĺpec23" dataDxfId="782"/>
    <tableColumn id="24" name="Stĺpec24" dataDxfId="781"/>
    <tableColumn id="25" name="Stĺpec25" dataDxfId="780"/>
    <tableColumn id="26" name="Stĺpec26" dataDxfId="779"/>
    <tableColumn id="27" name="Stĺpec27" dataDxfId="778"/>
    <tableColumn id="28" name="Stĺpec28" dataDxfId="777"/>
    <tableColumn id="29" name="Stĺpec29" dataDxfId="776"/>
    <tableColumn id="30" name="Stĺpec30" dataDxfId="775"/>
    <tableColumn id="31" name="Stĺpec31" dataDxfId="774"/>
    <tableColumn id="32" name="Stĺpec32" dataDxfId="773"/>
    <tableColumn id="33" name="Stĺpec33" dataDxfId="772"/>
    <tableColumn id="34" name="Stĺpec34" dataDxfId="771"/>
    <tableColumn id="35" name="Stĺpec35" dataDxfId="770"/>
    <tableColumn id="36" name="Stĺpec36" dataDxfId="769"/>
    <tableColumn id="37" name="Stĺpec37" dataDxfId="768"/>
    <tableColumn id="38" name="Stĺpec38" dataDxfId="767"/>
    <tableColumn id="39" name="Stĺpec39" dataDxfId="766"/>
    <tableColumn id="40" name="Stĺpec40" dataDxfId="765"/>
    <tableColumn id="41" name="Stĺpec41" dataDxfId="764"/>
    <tableColumn id="42" name="Stĺpec42" dataDxfId="763"/>
    <tableColumn id="43" name="Stĺpec43" dataDxfId="762"/>
    <tableColumn id="44" name="Stĺpec44" dataDxfId="761"/>
    <tableColumn id="45" name="Stĺpec45" dataDxfId="760"/>
    <tableColumn id="46" name="Stĺpec46" dataDxfId="759"/>
    <tableColumn id="47" name="Stĺpec47" dataDxfId="758"/>
    <tableColumn id="48" name="Stĺpec48" dataDxfId="757"/>
    <tableColumn id="49" name="Stĺpec49" dataDxfId="756"/>
    <tableColumn id="50" name="Stĺpec50" dataDxfId="755"/>
    <tableColumn id="51" name="Stĺpec51" dataDxfId="754"/>
    <tableColumn id="52" name="Stĺpec52" dataDxfId="753"/>
    <tableColumn id="53" name="Stĺpec53" dataDxfId="752"/>
    <tableColumn id="54" name="Stĺpec54" dataDxfId="751"/>
    <tableColumn id="55" name="Stĺpec55" dataDxfId="750"/>
    <tableColumn id="56" name="Stĺpec56" dataDxfId="749"/>
    <tableColumn id="57" name="Stĺpec57" dataDxfId="748"/>
    <tableColumn id="58" name="Stĺpec58" dataDxfId="747"/>
    <tableColumn id="59" name="Stĺpec59" dataDxfId="746"/>
    <tableColumn id="60" name="Stĺpec60" dataDxfId="745"/>
    <tableColumn id="64" name="Stĺpec64" dataDxfId="744"/>
    <tableColumn id="65" name="Stĺpec65" dataDxfId="743"/>
    <tableColumn id="66" name="Stĺpec66" dataDxfId="742"/>
    <tableColumn id="67" name="Stĺpec67" dataDxfId="741"/>
    <tableColumn id="68" name="Stĺpec68" dataDxfId="740"/>
    <tableColumn id="69" name="Stĺpec69" dataDxfId="739"/>
    <tableColumn id="70" name="Stĺpec70" dataDxfId="738"/>
    <tableColumn id="71" name="Stĺpec71" dataDxfId="737"/>
    <tableColumn id="72" name="Stĺpec72" dataDxfId="736"/>
    <tableColumn id="73" name="Stĺpec73" dataDxfId="735"/>
    <tableColumn id="74" name="Stĺpec74" dataDxfId="734"/>
    <tableColumn id="75" name="Stĺpec75" dataDxfId="733"/>
    <tableColumn id="76" name="Stĺpec76" dataDxfId="732"/>
    <tableColumn id="77" name="Stĺpec77" dataDxfId="731"/>
    <tableColumn id="78" name="Stĺpec78" dataDxfId="730"/>
    <tableColumn id="79" name="Stĺpec79" dataDxfId="729"/>
    <tableColumn id="80" name="Stĺpec80" dataDxfId="728"/>
    <tableColumn id="81" name="Stĺpec81" dataDxfId="727"/>
    <tableColumn id="82" name="Stĺpec82" dataDxfId="726"/>
    <tableColumn id="83" name="Stĺpec83" dataDxfId="725"/>
    <tableColumn id="84" name="Stĺpec84" dataDxfId="724"/>
    <tableColumn id="85" name="Stĺpec85" dataDxfId="723"/>
    <tableColumn id="86" name="Stĺpec86" dataDxfId="722"/>
    <tableColumn id="87" name="Stĺpec87" dataDxfId="721"/>
    <tableColumn id="88" name="Stĺpec88" dataDxfId="720"/>
    <tableColumn id="90" name="Stĺpec90" dataDxfId="719"/>
    <tableColumn id="91" name="Stĺpec91" dataDxfId="718"/>
    <tableColumn id="92" name="Stĺpec92" dataDxfId="717"/>
    <tableColumn id="93" name="Stĺpec93" dataDxfId="716"/>
    <tableColumn id="94" name="Stĺpec94" dataDxfId="715"/>
    <tableColumn id="95" name="Stĺpec95" dataDxfId="714"/>
    <tableColumn id="96" name="Stĺpec96" dataDxfId="713"/>
    <tableColumn id="97" name="Stĺpec97" dataDxfId="712"/>
    <tableColumn id="98" name="Stĺpec98" dataDxfId="711"/>
    <tableColumn id="99" name="Stĺpec99" dataDxfId="710"/>
    <tableColumn id="100" name="Stĺpec100" dataDxfId="709"/>
    <tableColumn id="101" name="Stĺpec101" dataDxfId="708"/>
    <tableColumn id="102" name="Stĺpec102" dataDxfId="707"/>
    <tableColumn id="103" name="Stĺpec103" dataDxfId="706"/>
    <tableColumn id="104" name="Stĺpec104" dataDxfId="705"/>
    <tableColumn id="105" name="Stĺpec105" dataDxfId="704"/>
    <tableColumn id="106" name="Stĺpec106" dataDxfId="703"/>
    <tableColumn id="107" name="Stĺpec107" dataDxfId="702"/>
    <tableColumn id="405" name="Stĺpec405" dataDxfId="701"/>
    <tableColumn id="117" name="Stĺpec117" dataDxfId="700"/>
    <tableColumn id="89" name="Stĺpec89" dataDxfId="699"/>
    <tableColumn id="63" name="Stĺpec63" dataDxfId="698"/>
    <tableColumn id="62" name="Stĺpec62" dataDxfId="697"/>
    <tableColumn id="61" name="Stĺpec61" dataDxfId="696"/>
    <tableColumn id="407" name="Stĺpec407" dataDxfId="695"/>
    <tableColumn id="406" name="Stĺpec406" dataDxfId="694"/>
    <tableColumn id="156" name="Stĺpec156" dataDxfId="693"/>
    <tableColumn id="108" name="Stĺpec108" dataDxfId="692"/>
    <tableColumn id="109" name="Stĺpec109" dataDxfId="691"/>
    <tableColumn id="110" name="Stĺpec110" dataDxfId="690"/>
    <tableColumn id="111" name="Stĺpec111" dataDxfId="689"/>
    <tableColumn id="112" name="Stĺpec112" dataDxfId="688"/>
    <tableColumn id="113" name="Stĺpec113" dataDxfId="687"/>
    <tableColumn id="114" name="Stĺpec114" dataDxfId="686"/>
    <tableColumn id="115" name="Stĺpec115" dataDxfId="685"/>
    <tableColumn id="116" name="Stĺpec116" dataDxfId="684"/>
    <tableColumn id="118" name="Stĺpec118" dataDxfId="683"/>
    <tableColumn id="119" name="Stĺpec119" dataDxfId="682"/>
    <tableColumn id="120" name="Stĺpec120" dataDxfId="681"/>
    <tableColumn id="121" name="Stĺpec121" dataDxfId="680"/>
    <tableColumn id="122" name="Stĺpec122" dataDxfId="679"/>
    <tableColumn id="123" name="Stĺpec123" dataDxfId="678"/>
    <tableColumn id="124" name="Stĺpec124" dataDxfId="677"/>
    <tableColumn id="125" name="Stĺpec125" dataDxfId="676"/>
    <tableColumn id="293" name="Stĺpec293" dataDxfId="675"/>
    <tableColumn id="292" name="Stĺpec292" dataDxfId="674"/>
    <tableColumn id="126" name="Stĺpec126" dataDxfId="673"/>
    <tableColumn id="127" name="Stĺpec127" dataDxfId="672"/>
    <tableColumn id="128" name="Stĺpec128" dataDxfId="671"/>
    <tableColumn id="129" name="Stĺpec129" dataDxfId="670"/>
    <tableColumn id="130" name="Stĺpec130" dataDxfId="669"/>
    <tableColumn id="131" name="Stĺpec131" dataDxfId="668"/>
    <tableColumn id="132" name="Stĺpec132" dataDxfId="667"/>
    <tableColumn id="133" name="Stĺpec133" dataDxfId="666"/>
    <tableColumn id="134" name="Stĺpec134" dataDxfId="665"/>
    <tableColumn id="135" name="Stĺpec135" dataDxfId="664"/>
    <tableColumn id="410" name="Stĺpec410" dataDxfId="663"/>
    <tableColumn id="409" name="Stĺpec409" dataDxfId="662"/>
    <tableColumn id="408" name="Stĺpec408" dataDxfId="661"/>
    <tableColumn id="136" name="Stĺpec136" dataDxfId="660"/>
    <tableColumn id="137" name="Stĺpec137" dataDxfId="659"/>
    <tableColumn id="138" name="Stĺpec138" dataDxfId="658"/>
    <tableColumn id="139" name="Stĺpec139" dataDxfId="657"/>
    <tableColumn id="140" name="Stĺpec140" dataDxfId="656"/>
    <tableColumn id="141" name="Stĺpec141" dataDxfId="655"/>
    <tableColumn id="142" name="Stĺpec142" dataDxfId="654"/>
    <tableColumn id="143" name="Stĺpec143" dataDxfId="653"/>
    <tableColumn id="144" name="Stĺpec144" dataDxfId="652"/>
    <tableColumn id="145" name="Stĺpec145" dataDxfId="651"/>
    <tableColumn id="146" name="Stĺpec146" dataDxfId="650"/>
    <tableColumn id="147" name="Stĺpec147" dataDxfId="649"/>
    <tableColumn id="148" name="Stĺpec148" dataDxfId="648"/>
    <tableColumn id="149" name="Stĺpec149" dataDxfId="647"/>
    <tableColumn id="413" name="Stĺpec413" dataDxfId="646"/>
    <tableColumn id="412" name="Stĺpec412" dataDxfId="645"/>
    <tableColumn id="411" name="Stĺpec411" dataDxfId="644"/>
    <tableColumn id="150" name="Stĺpec150" dataDxfId="643"/>
    <tableColumn id="151" name="Stĺpec151" dataDxfId="642"/>
    <tableColumn id="152" name="Stĺpec152" dataDxfId="641"/>
    <tableColumn id="153" name="Stĺpec153" dataDxfId="640"/>
    <tableColumn id="154" name="Stĺpec154" dataDxfId="639"/>
    <tableColumn id="155" name="Stĺpec155" dataDxfId="638"/>
    <tableColumn id="157" name="Stĺpec157" dataDxfId="637"/>
    <tableColumn id="158" name="Stĺpec158" dataDxfId="636"/>
    <tableColumn id="159" name="Stĺpec159" dataDxfId="635"/>
    <tableColumn id="160" name="Stĺpec160" dataDxfId="634"/>
    <tableColumn id="161" name="Stĺpec161" dataDxfId="633"/>
    <tableColumn id="162" name="Stĺpec162" dataDxfId="632"/>
    <tableColumn id="163" name="Stĺpec163" dataDxfId="631"/>
    <tableColumn id="164" name="Stĺpec164" dataDxfId="630"/>
    <tableColumn id="165" name="Stĺpec165" dataDxfId="629"/>
    <tableColumn id="166" name="Stĺpec166" dataDxfId="628"/>
    <tableColumn id="167" name="Stĺpec167" dataDxfId="627"/>
    <tableColumn id="168" name="Stĺpec168" dataDxfId="626"/>
    <tableColumn id="169" name="Stĺpec169" dataDxfId="625"/>
    <tableColumn id="170" name="Stĺpec170" dataDxfId="624"/>
    <tableColumn id="171" name="Stĺpec171" dataDxfId="623"/>
    <tableColumn id="236" name="Stĺpec236" dataDxfId="622"/>
    <tableColumn id="235" name="Stĺpec235" dataDxfId="621"/>
    <tableColumn id="234" name="Stĺpec234" dataDxfId="620"/>
    <tableColumn id="291" name="Stĺpec291" dataDxfId="619"/>
    <tableColumn id="290" name="Stĺpec290" dataDxfId="618"/>
    <tableColumn id="289" name="Stĺpec289" dataDxfId="617"/>
    <tableColumn id="288" name="Stĺpec288" dataDxfId="616"/>
    <tableColumn id="287" name="Stĺpec287" dataDxfId="615"/>
    <tableColumn id="286" name="Stĺpec286" dataDxfId="614"/>
    <tableColumn id="285" name="Stĺpec285" dataDxfId="613"/>
    <tableColumn id="284" name="Stĺpec284" dataDxfId="612"/>
    <tableColumn id="283" name="Stĺpec283" dataDxfId="611"/>
    <tableColumn id="282" name="Stĺpec282" dataDxfId="610"/>
    <tableColumn id="281" name="Stĺpec281" dataDxfId="609"/>
    <tableColumn id="280" name="Stĺpec280" dataDxfId="608"/>
    <tableColumn id="279" name="Stĺpec279" dataDxfId="607"/>
    <tableColumn id="278" name="Stĺpec278" dataDxfId="606"/>
    <tableColumn id="277" name="Stĺpec277" dataDxfId="605"/>
    <tableColumn id="276" name="Stĺpec276" dataDxfId="604"/>
    <tableColumn id="275" name="Stĺpec275" dataDxfId="603"/>
    <tableColumn id="274" name="Stĺpec274" dataDxfId="602"/>
    <tableColumn id="273" name="Stĺpec273" dataDxfId="601"/>
    <tableColumn id="272" name="Stĺpec272" dataDxfId="600"/>
    <tableColumn id="271" name="Stĺpec271" dataDxfId="599"/>
    <tableColumn id="270" name="Stĺpec270" dataDxfId="598"/>
    <tableColumn id="269" name="Stĺpec269" dataDxfId="597"/>
    <tableColumn id="268" name="Stĺpec268" dataDxfId="596"/>
    <tableColumn id="267" name="Stĺpec267" dataDxfId="595"/>
    <tableColumn id="266" name="Stĺpec266" dataDxfId="594"/>
    <tableColumn id="265" name="Stĺpec265" dataDxfId="593"/>
    <tableColumn id="264" name="Stĺpec264" dataDxfId="592"/>
    <tableColumn id="263" name="Stĺpec263" dataDxfId="591"/>
    <tableColumn id="262" name="Stĺpec262" dataDxfId="590"/>
    <tableColumn id="261" name="Stĺpec261" dataDxfId="589"/>
    <tableColumn id="260" name="Stĺpec260" dataDxfId="588"/>
    <tableColumn id="259" name="Stĺpec259" dataDxfId="587"/>
    <tableColumn id="258" name="Stĺpec258" dataDxfId="586"/>
    <tableColumn id="257" name="Stĺpec257" dataDxfId="585"/>
    <tableColumn id="256" name="Stĺpec256" dataDxfId="584"/>
    <tableColumn id="255" name="Stĺpec255" dataDxfId="583"/>
    <tableColumn id="254" name="Stĺpec254" dataDxfId="582"/>
    <tableColumn id="253" name="Stĺpec253" dataDxfId="581"/>
    <tableColumn id="309" name="Stĺpec309" dataDxfId="580"/>
    <tableColumn id="308" name="Stĺpec308" dataDxfId="579"/>
    <tableColumn id="307" name="Stĺpec307" dataDxfId="578"/>
    <tableColumn id="306" name="Stĺpec306" dataDxfId="577"/>
    <tableColumn id="305" name="Stĺpec305" dataDxfId="576"/>
    <tableColumn id="304" name="Stĺpec304" dataDxfId="575"/>
    <tableColumn id="303" name="Stĺpec303" dataDxfId="574"/>
    <tableColumn id="302" name="Stĺpec302" dataDxfId="573"/>
    <tableColumn id="301" name="Stĺpec301" dataDxfId="572"/>
    <tableColumn id="300" name="Stĺpec300" dataDxfId="571"/>
    <tableColumn id="299" name="Stĺpec299" dataDxfId="570"/>
    <tableColumn id="298" name="Stĺpec298" dataDxfId="569"/>
    <tableColumn id="297" name="Stĺpec297" dataDxfId="568"/>
    <tableColumn id="296" name="Stĺpec296" dataDxfId="567"/>
    <tableColumn id="295" name="Stĺpec295" dataDxfId="566"/>
    <tableColumn id="294" name="Stĺpec294" dataDxfId="565"/>
    <tableColumn id="252" name="Stĺpec252" dataDxfId="564"/>
    <tableColumn id="251" name="Stĺpec251" dataDxfId="563"/>
    <tableColumn id="250" name="Stĺpec250" dataDxfId="562"/>
    <tableColumn id="249" name="Stĺpec249" dataDxfId="561"/>
    <tableColumn id="248" name="Stĺpec248" dataDxfId="560"/>
    <tableColumn id="247" name="Stĺpec247" dataDxfId="559"/>
    <tableColumn id="246" name="Stĺpec246" dataDxfId="558"/>
    <tableColumn id="245" name="Stĺpec245" dataDxfId="557"/>
    <tableColumn id="244" name="Stĺpec244" dataDxfId="556"/>
    <tableColumn id="243" name="Stĺpec243" dataDxfId="555"/>
    <tableColumn id="233" name="Stĺpec233" dataDxfId="554"/>
    <tableColumn id="232" name="Stĺpec232" dataDxfId="553"/>
    <tableColumn id="231" name="Stĺpec231" dataDxfId="552"/>
    <tableColumn id="239" name="Stĺpec239" dataDxfId="551"/>
    <tableColumn id="238" name="Stĺpec238" dataDxfId="550"/>
    <tableColumn id="241" name="Stĺpec241" dataDxfId="549"/>
    <tableColumn id="240" name="Stĺpec240" dataDxfId="548"/>
    <tableColumn id="242" name="Stĺpec242" dataDxfId="547"/>
    <tableColumn id="237" name="Stĺpec237" dataDxfId="546"/>
    <tableColumn id="419" name="Stĺpec419" dataDxfId="545"/>
    <tableColumn id="418" name="Stĺpec418" dataDxfId="544"/>
    <tableColumn id="417" name="Stĺpec417" dataDxfId="543"/>
    <tableColumn id="416" name="Stĺpec416" dataDxfId="542"/>
    <tableColumn id="415" name="Stĺpec415" dataDxfId="541"/>
    <tableColumn id="414" name="Stĺpec414" dataDxfId="540"/>
    <tableColumn id="172" name="Stĺpec172" dataDxfId="539"/>
    <tableColumn id="173" name="Stĺpec173" dataDxfId="538"/>
    <tableColumn id="174" name="Stĺpec174" dataDxfId="537"/>
    <tableColumn id="175" name="Stĺpec175" dataDxfId="536"/>
    <tableColumn id="176" name="Stĺpec176" dataDxfId="535"/>
    <tableColumn id="177" name="Stĺpec177" dataDxfId="534"/>
    <tableColumn id="178" name="Stĺpec178" dataDxfId="533"/>
    <tableColumn id="179" name="Stĺpec179" dataDxfId="532"/>
    <tableColumn id="180" name="Stĺpec180" dataDxfId="531"/>
    <tableColumn id="181" name="Stĺpec181" dataDxfId="530"/>
    <tableColumn id="182" name="Stĺpec182" dataDxfId="529"/>
    <tableColumn id="183" name="Stĺpec183" dataDxfId="528"/>
    <tableColumn id="184" name="Stĺpec184" dataDxfId="527"/>
    <tableColumn id="185" name="Stĺpec185" dataDxfId="526"/>
    <tableColumn id="186" name="Stĺpec186" dataDxfId="525"/>
    <tableColumn id="187" name="Stĺpec187" dataDxfId="524"/>
    <tableColumn id="188" name="Stĺpec188" dataDxfId="523"/>
    <tableColumn id="189" name="Stĺpec189" dataDxfId="522"/>
    <tableColumn id="190" name="Stĺpec190" dataDxfId="521"/>
    <tableColumn id="191" name="Stĺpec191" dataDxfId="520"/>
    <tableColumn id="192" name="Stĺpec192" dataDxfId="519"/>
    <tableColumn id="422" name="Stĺpec422" dataDxfId="518"/>
    <tableColumn id="421" name="Stĺpec421" dataDxfId="517"/>
    <tableColumn id="420" name="Stĺpec420" dataDxfId="516"/>
    <tableColumn id="193" name="Stĺpec193" dataDxfId="515"/>
    <tableColumn id="194" name="Stĺpec194" dataDxfId="514"/>
    <tableColumn id="195" name="Stĺpec195" dataDxfId="513"/>
    <tableColumn id="196" name="Stĺpec196" dataDxfId="512"/>
    <tableColumn id="197" name="Stĺpec197" dataDxfId="511"/>
    <tableColumn id="198" name="Stĺpec198" dataDxfId="510"/>
    <tableColumn id="199" name="Stĺpec199" dataDxfId="509"/>
    <tableColumn id="200" name="Stĺpec200" dataDxfId="508"/>
    <tableColumn id="201" name="Stĺpec201" dataDxfId="507"/>
    <tableColumn id="202" name="Stĺpec202" dataDxfId="506"/>
    <tableColumn id="203" name="Stĺpec203" dataDxfId="505"/>
    <tableColumn id="204" name="Stĺpec204" dataDxfId="504"/>
    <tableColumn id="205" name="Stĺpec205" dataDxfId="503"/>
    <tableColumn id="206" name="Stĺpec206" dataDxfId="502"/>
    <tableColumn id="207" name="Stĺpec207" dataDxfId="501"/>
    <tableColumn id="208" name="Stĺpec208" dataDxfId="500"/>
    <tableColumn id="209" name="Stĺpec209" dataDxfId="499"/>
    <tableColumn id="210" name="Stĺpec210" dataDxfId="498"/>
    <tableColumn id="211" name="Stĺpec211" dataDxfId="497"/>
    <tableColumn id="212" name="Stĺpec212" dataDxfId="496"/>
    <tableColumn id="213" name="Stĺpec213" dataDxfId="495"/>
    <tableColumn id="214" name="Stĺpec214" dataDxfId="494"/>
    <tableColumn id="215" name="Stĺpec215" dataDxfId="493"/>
    <tableColumn id="216" name="Stĺpec216" dataDxfId="492"/>
    <tableColumn id="217" name="Stĺpec217" dataDxfId="491"/>
    <tableColumn id="218" name="Stĺpec218" dataDxfId="490"/>
    <tableColumn id="219" name="Stĺpec219" dataDxfId="489"/>
    <tableColumn id="220" name="Stĺpec220" dataDxfId="488"/>
    <tableColumn id="221" name="Stĺpec221" dataDxfId="487"/>
    <tableColumn id="222" name="Stĺpec222" dataDxfId="486"/>
  </tableColumns>
  <tableStyleInfo name="TableStyleMedium4" showFirstColumn="0" showLastColumn="0" showRowStripes="1" showColumnStripes="0"/>
</table>
</file>

<file path=xl/tables/table7.xml><?xml version="1.0" encoding="utf-8"?>
<table xmlns="http://schemas.openxmlformats.org/spreadsheetml/2006/main" id="10" name="Tabuľka311" displayName="Tabuľka311" ref="A8:LG46" headerRowCount="0" totalsRowShown="0">
  <tableColumns count="319">
    <tableColumn id="1" name="Stĺpec1" dataDxfId="485"/>
    <tableColumn id="2" name="Stĺpec2" dataDxfId="484"/>
    <tableColumn id="3" name="Stĺpec3" dataDxfId="483"/>
    <tableColumn id="4" name="Stĺpec4" dataDxfId="482"/>
    <tableColumn id="5" name="Stĺpec5"/>
    <tableColumn id="6" name="Stĺpec6" dataDxfId="481"/>
    <tableColumn id="7" name="Stĺpec7" dataDxfId="480"/>
    <tableColumn id="8" name="Stĺpec8"/>
    <tableColumn id="9" name="Stĺpec9" dataDxfId="479"/>
    <tableColumn id="10" name="Stĺpec10" dataDxfId="478"/>
    <tableColumn id="11" name="Stĺpec11" dataDxfId="477"/>
    <tableColumn id="12" name="Stĺpec12" dataDxfId="476"/>
    <tableColumn id="13" name="Stĺpec13" dataDxfId="475"/>
    <tableColumn id="14" name="Stĺpec14" dataDxfId="474"/>
    <tableColumn id="15" name="Stĺpec15" dataDxfId="473"/>
    <tableColumn id="16" name="Stĺpec16" dataDxfId="472"/>
    <tableColumn id="17" name="Stĺpec17" dataDxfId="471"/>
    <tableColumn id="18" name="Stĺpec18" dataDxfId="470"/>
    <tableColumn id="19" name="Stĺpec19" dataDxfId="469"/>
    <tableColumn id="20" name="Stĺpec20" dataDxfId="468"/>
    <tableColumn id="21" name="Stĺpec21" dataDxfId="467"/>
    <tableColumn id="22" name="Stĺpec22" dataDxfId="466"/>
    <tableColumn id="23" name="Stĺpec23" dataDxfId="465"/>
    <tableColumn id="24" name="Stĺpec24" dataDxfId="464"/>
    <tableColumn id="25" name="Stĺpec25" dataDxfId="463"/>
    <tableColumn id="26" name="Stĺpec26" dataDxfId="462"/>
    <tableColumn id="27" name="Stĺpec27" dataDxfId="461"/>
    <tableColumn id="28" name="Stĺpec28" dataDxfId="460"/>
    <tableColumn id="29" name="Stĺpec29" dataDxfId="459"/>
    <tableColumn id="30" name="Stĺpec30" dataDxfId="458"/>
    <tableColumn id="31" name="Stĺpec31" dataDxfId="457"/>
    <tableColumn id="32" name="Stĺpec32" dataDxfId="456"/>
    <tableColumn id="33" name="Stĺpec33" dataDxfId="455"/>
    <tableColumn id="34" name="Stĺpec34" dataDxfId="454"/>
    <tableColumn id="35" name="Stĺpec35" dataDxfId="453"/>
    <tableColumn id="36" name="Stĺpec36" dataDxfId="452"/>
    <tableColumn id="37" name="Stĺpec37" dataDxfId="451"/>
    <tableColumn id="38" name="Stĺpec38" dataDxfId="450"/>
    <tableColumn id="39" name="Stĺpec39" dataDxfId="449"/>
    <tableColumn id="40" name="Stĺpec40" dataDxfId="448"/>
    <tableColumn id="41" name="Stĺpec41" dataDxfId="447"/>
    <tableColumn id="42" name="Stĺpec42" dataDxfId="446"/>
    <tableColumn id="43" name="Stĺpec43" dataDxfId="445"/>
    <tableColumn id="44" name="Stĺpec44" dataDxfId="444"/>
    <tableColumn id="45" name="Stĺpec45" dataDxfId="443"/>
    <tableColumn id="46" name="Stĺpec46" dataDxfId="442"/>
    <tableColumn id="47" name="Stĺpec47" dataDxfId="441"/>
    <tableColumn id="48" name="Stĺpec48" dataDxfId="440"/>
    <tableColumn id="49" name="Stĺpec49" dataDxfId="439"/>
    <tableColumn id="50" name="Stĺpec50" dataDxfId="438"/>
    <tableColumn id="51" name="Stĺpec51" dataDxfId="437"/>
    <tableColumn id="52" name="Stĺpec52" dataDxfId="436"/>
    <tableColumn id="53" name="Stĺpec53" dataDxfId="435"/>
    <tableColumn id="54" name="Stĺpec54" dataDxfId="434"/>
    <tableColumn id="55" name="Stĺpec55" dataDxfId="433"/>
    <tableColumn id="56" name="Stĺpec56" dataDxfId="432"/>
    <tableColumn id="57" name="Stĺpec57" dataDxfId="431"/>
    <tableColumn id="58" name="Stĺpec58" dataDxfId="430"/>
    <tableColumn id="59" name="Stĺpec59" dataDxfId="429"/>
    <tableColumn id="60" name="Stĺpec60" dataDxfId="428"/>
    <tableColumn id="64" name="Stĺpec64" dataDxfId="427"/>
    <tableColumn id="65" name="Stĺpec65" dataDxfId="426"/>
    <tableColumn id="66" name="Stĺpec66" dataDxfId="425"/>
    <tableColumn id="67" name="Stĺpec67" dataDxfId="424"/>
    <tableColumn id="68" name="Stĺpec68" dataDxfId="423"/>
    <tableColumn id="69" name="Stĺpec69" dataDxfId="422"/>
    <tableColumn id="70" name="Stĺpec70" dataDxfId="421"/>
    <tableColumn id="71" name="Stĺpec71" dataDxfId="420"/>
    <tableColumn id="72" name="Stĺpec72" dataDxfId="419"/>
    <tableColumn id="73" name="Stĺpec73" dataDxfId="418"/>
    <tableColumn id="74" name="Stĺpec74" dataDxfId="417"/>
    <tableColumn id="75" name="Stĺpec75" dataDxfId="416"/>
    <tableColumn id="76" name="Stĺpec76" dataDxfId="415"/>
    <tableColumn id="77" name="Stĺpec77" dataDxfId="414"/>
    <tableColumn id="78" name="Stĺpec78" dataDxfId="413"/>
    <tableColumn id="79" name="Stĺpec79" dataDxfId="412"/>
    <tableColumn id="80" name="Stĺpec80" dataDxfId="411"/>
    <tableColumn id="81" name="Stĺpec81" dataDxfId="410"/>
    <tableColumn id="82" name="Stĺpec82" dataDxfId="409"/>
    <tableColumn id="83" name="Stĺpec83" dataDxfId="408"/>
    <tableColumn id="84" name="Stĺpec84" dataDxfId="407"/>
    <tableColumn id="85" name="Stĺpec85" dataDxfId="406"/>
    <tableColumn id="86" name="Stĺpec86" dataDxfId="405"/>
    <tableColumn id="87" name="Stĺpec87" dataDxfId="404"/>
    <tableColumn id="88" name="Stĺpec88" dataDxfId="403"/>
    <tableColumn id="90" name="Stĺpec90" dataDxfId="402"/>
    <tableColumn id="91" name="Stĺpec91" dataDxfId="401"/>
    <tableColumn id="92" name="Stĺpec92" dataDxfId="400"/>
    <tableColumn id="93" name="Stĺpec93" dataDxfId="399"/>
    <tableColumn id="94" name="Stĺpec94" dataDxfId="398"/>
    <tableColumn id="95" name="Stĺpec95" dataDxfId="397"/>
    <tableColumn id="96" name="Stĺpec96" dataDxfId="396"/>
    <tableColumn id="97" name="Stĺpec97" dataDxfId="395"/>
    <tableColumn id="98" name="Stĺpec98" dataDxfId="394"/>
    <tableColumn id="99" name="Stĺpec99" dataDxfId="393"/>
    <tableColumn id="100" name="Stĺpec100" dataDxfId="392"/>
    <tableColumn id="101" name="Stĺpec101" dataDxfId="391"/>
    <tableColumn id="102" name="Stĺpec102" dataDxfId="390"/>
    <tableColumn id="103" name="Stĺpec103" dataDxfId="389"/>
    <tableColumn id="104" name="Stĺpec104" dataDxfId="388"/>
    <tableColumn id="105" name="Stĺpec105" dataDxfId="387"/>
    <tableColumn id="106" name="Stĺpec106" dataDxfId="386"/>
    <tableColumn id="107" name="Stĺpec107" dataDxfId="385"/>
    <tableColumn id="405" name="Stĺpec405" dataDxfId="384"/>
    <tableColumn id="117" name="Stĺpec117" dataDxfId="383"/>
    <tableColumn id="89" name="Stĺpec89" dataDxfId="382"/>
    <tableColumn id="63" name="Stĺpec63" dataDxfId="381"/>
    <tableColumn id="62" name="Stĺpec62" dataDxfId="380"/>
    <tableColumn id="61" name="Stĺpec61" dataDxfId="379"/>
    <tableColumn id="407" name="Stĺpec407" dataDxfId="378"/>
    <tableColumn id="406" name="Stĺpec406" dataDxfId="377"/>
    <tableColumn id="156" name="Stĺpec156" dataDxfId="376"/>
    <tableColumn id="108" name="Stĺpec108" dataDxfId="375"/>
    <tableColumn id="109" name="Stĺpec109" dataDxfId="374"/>
    <tableColumn id="110" name="Stĺpec110" dataDxfId="373"/>
    <tableColumn id="111" name="Stĺpec111" dataDxfId="372"/>
    <tableColumn id="112" name="Stĺpec112" dataDxfId="371"/>
    <tableColumn id="113" name="Stĺpec113" dataDxfId="370"/>
    <tableColumn id="114" name="Stĺpec114" dataDxfId="369"/>
    <tableColumn id="115" name="Stĺpec115" dataDxfId="368"/>
    <tableColumn id="116" name="Stĺpec116" dataDxfId="367"/>
    <tableColumn id="118" name="Stĺpec118" dataDxfId="366"/>
    <tableColumn id="119" name="Stĺpec119" dataDxfId="365"/>
    <tableColumn id="120" name="Stĺpec120" dataDxfId="364"/>
    <tableColumn id="121" name="Stĺpec121" dataDxfId="363"/>
    <tableColumn id="122" name="Stĺpec122" dataDxfId="362"/>
    <tableColumn id="123" name="Stĺpec123" dataDxfId="361"/>
    <tableColumn id="124" name="Stĺpec124" dataDxfId="360"/>
    <tableColumn id="125" name="Stĺpec125" dataDxfId="359"/>
    <tableColumn id="261" name="Stĺpec261" dataDxfId="358"/>
    <tableColumn id="260" name="Stĺpec260" dataDxfId="357"/>
    <tableColumn id="126" name="Stĺpec126" dataDxfId="356"/>
    <tableColumn id="127" name="Stĺpec127" dataDxfId="355"/>
    <tableColumn id="128" name="Stĺpec128" dataDxfId="354"/>
    <tableColumn id="129" name="Stĺpec129" dataDxfId="353"/>
    <tableColumn id="247" name="Stĺpec247" dataDxfId="352"/>
    <tableColumn id="246" name="Stĺpec246" dataDxfId="351"/>
    <tableColumn id="245" name="Stĺpec245" dataDxfId="350"/>
    <tableColumn id="244" name="Stĺpec244" dataDxfId="349"/>
    <tableColumn id="243" name="Stĺpec243" dataDxfId="348"/>
    <tableColumn id="130" name="Stĺpec130" dataDxfId="347"/>
    <tableColumn id="131" name="Stĺpec131" dataDxfId="346"/>
    <tableColumn id="132" name="Stĺpec132" dataDxfId="345"/>
    <tableColumn id="133" name="Stĺpec133" dataDxfId="344"/>
    <tableColumn id="134" name="Stĺpec134" dataDxfId="343"/>
    <tableColumn id="135" name="Stĺpec135" dataDxfId="342"/>
    <tableColumn id="410" name="Stĺpec410" dataDxfId="341"/>
    <tableColumn id="409" name="Stĺpec409" dataDxfId="340"/>
    <tableColumn id="408" name="Stĺpec408" dataDxfId="339"/>
    <tableColumn id="136" name="Stĺpec136" dataDxfId="338"/>
    <tableColumn id="137" name="Stĺpec137" dataDxfId="337"/>
    <tableColumn id="138" name="Stĺpec138" dataDxfId="336"/>
    <tableColumn id="139" name="Stĺpec139" dataDxfId="335"/>
    <tableColumn id="140" name="Stĺpec140" dataDxfId="334"/>
    <tableColumn id="141" name="Stĺpec141" dataDxfId="333"/>
    <tableColumn id="142" name="Stĺpec142" dataDxfId="332"/>
    <tableColumn id="143" name="Stĺpec143" dataDxfId="331"/>
    <tableColumn id="144" name="Stĺpec144" dataDxfId="330"/>
    <tableColumn id="145" name="Stĺpec145" dataDxfId="329"/>
    <tableColumn id="146" name="Stĺpec146" dataDxfId="328"/>
    <tableColumn id="147" name="Stĺpec147" dataDxfId="327"/>
    <tableColumn id="148" name="Stĺpec148" dataDxfId="326"/>
    <tableColumn id="149" name="Stĺpec149" dataDxfId="325"/>
    <tableColumn id="413" name="Stĺpec413" dataDxfId="324"/>
    <tableColumn id="412" name="Stĺpec412" dataDxfId="323"/>
    <tableColumn id="411" name="Stĺpec411" dataDxfId="322"/>
    <tableColumn id="150" name="Stĺpec150" dataDxfId="321"/>
    <tableColumn id="151" name="Stĺpec151" dataDxfId="320"/>
    <tableColumn id="152" name="Stĺpec152" dataDxfId="319"/>
    <tableColumn id="153" name="Stĺpec153" dataDxfId="318"/>
    <tableColumn id="154" name="Stĺpec154" dataDxfId="317"/>
    <tableColumn id="155" name="Stĺpec155" dataDxfId="316"/>
    <tableColumn id="157" name="Stĺpec157" dataDxfId="315"/>
    <tableColumn id="158" name="Stĺpec158" dataDxfId="314"/>
    <tableColumn id="159" name="Stĺpec159" dataDxfId="313"/>
    <tableColumn id="160" name="Stĺpec160" dataDxfId="312"/>
    <tableColumn id="161" name="Stĺpec161" dataDxfId="311"/>
    <tableColumn id="162" name="Stĺpec162" dataDxfId="310"/>
    <tableColumn id="259" name="Stĺpec259" dataDxfId="309"/>
    <tableColumn id="258" name="Stĺpec258" dataDxfId="308"/>
    <tableColumn id="257" name="Stĺpec257" dataDxfId="307"/>
    <tableColumn id="256" name="Stĺpec256" dataDxfId="306"/>
    <tableColumn id="255" name="Stĺpec255" dataDxfId="305"/>
    <tableColumn id="254" name="Stĺpec254" dataDxfId="304"/>
    <tableColumn id="253" name="Stĺpec253" dataDxfId="303"/>
    <tableColumn id="252" name="Stĺpec252" dataDxfId="302"/>
    <tableColumn id="251" name="Stĺpec251" dataDxfId="301"/>
    <tableColumn id="250" name="Stĺpec250" dataDxfId="300"/>
    <tableColumn id="249" name="Stĺpec249" dataDxfId="299"/>
    <tableColumn id="248" name="Stĺpec248" dataDxfId="298"/>
    <tableColumn id="163" name="Stĺpec163" dataDxfId="297"/>
    <tableColumn id="164" name="Stĺpec164" dataDxfId="296"/>
    <tableColumn id="165" name="Stĺpec165" dataDxfId="295"/>
    <tableColumn id="166" name="Stĺpec166" dataDxfId="294"/>
    <tableColumn id="167" name="Stĺpec167" dataDxfId="293"/>
    <tableColumn id="168" name="Stĺpec168" dataDxfId="292"/>
    <tableColumn id="169" name="Stĺpec169" dataDxfId="291"/>
    <tableColumn id="170" name="Stĺpec170" dataDxfId="290"/>
    <tableColumn id="171" name="Stĺpec171" dataDxfId="289"/>
    <tableColumn id="236" name="Stĺpec236" dataDxfId="288"/>
    <tableColumn id="235" name="Stĺpec235" dataDxfId="287"/>
    <tableColumn id="234" name="Stĺpec234" dataDxfId="286"/>
    <tableColumn id="233" name="Stĺpec233" dataDxfId="285"/>
    <tableColumn id="232" name="Stĺpec232" dataDxfId="284"/>
    <tableColumn id="231" name="Stĺpec231" dataDxfId="283"/>
    <tableColumn id="239" name="Stĺpec239" dataDxfId="282"/>
    <tableColumn id="238" name="Stĺpec238" dataDxfId="281"/>
    <tableColumn id="241" name="Stĺpec241" dataDxfId="280"/>
    <tableColumn id="240" name="Stĺpec240" dataDxfId="279"/>
    <tableColumn id="242" name="Stĺpec242" dataDxfId="278"/>
    <tableColumn id="237" name="Stĺpec237" dataDxfId="277"/>
    <tableColumn id="419" name="Stĺpec419" dataDxfId="276"/>
    <tableColumn id="418" name="Stĺpec418" dataDxfId="275"/>
    <tableColumn id="417" name="Stĺpec417" dataDxfId="274"/>
    <tableColumn id="416" name="Stĺpec416" dataDxfId="273"/>
    <tableColumn id="415" name="Stĺpec415" dataDxfId="272"/>
    <tableColumn id="414" name="Stĺpec414" dataDxfId="271"/>
    <tableColumn id="172" name="Stĺpec172" dataDxfId="270"/>
    <tableColumn id="173" name="Stĺpec173" dataDxfId="269"/>
    <tableColumn id="174" name="Stĺpec174" dataDxfId="268"/>
    <tableColumn id="175" name="Stĺpec175" dataDxfId="267"/>
    <tableColumn id="176" name="Stĺpec176" dataDxfId="266"/>
    <tableColumn id="177" name="Stĺpec177" dataDxfId="265"/>
    <tableColumn id="276" name="Stĺpec276" dataDxfId="264"/>
    <tableColumn id="275" name="Stĺpec275" dataDxfId="263"/>
    <tableColumn id="274" name="Stĺpec274" dataDxfId="262"/>
    <tableColumn id="273" name="Stĺpec273" dataDxfId="261"/>
    <tableColumn id="272" name="Stĺpec272" dataDxfId="260"/>
    <tableColumn id="271" name="Stĺpec271" dataDxfId="259"/>
    <tableColumn id="270" name="Stĺpec270" dataDxfId="258"/>
    <tableColumn id="269" name="Stĺpec269" dataDxfId="257"/>
    <tableColumn id="268" name="Stĺpec268" dataDxfId="256"/>
    <tableColumn id="267" name="Stĺpec267" dataDxfId="255"/>
    <tableColumn id="266" name="Stĺpec266" dataDxfId="254"/>
    <tableColumn id="265" name="Stĺpec265" dataDxfId="253"/>
    <tableColumn id="264" name="Stĺpec264" dataDxfId="252"/>
    <tableColumn id="263" name="Stĺpec263" dataDxfId="251"/>
    <tableColumn id="262" name="Stĺpec262" dataDxfId="250"/>
    <tableColumn id="178" name="Stĺpec178" dataDxfId="249"/>
    <tableColumn id="179" name="Stĺpec179" dataDxfId="248"/>
    <tableColumn id="180" name="Stĺpec180" dataDxfId="247"/>
    <tableColumn id="181" name="Stĺpec181" dataDxfId="246"/>
    <tableColumn id="182" name="Stĺpec182" dataDxfId="245"/>
    <tableColumn id="183" name="Stĺpec183" dataDxfId="244"/>
    <tableColumn id="184" name="Stĺpec184" dataDxfId="243"/>
    <tableColumn id="185" name="Stĺpec185" dataDxfId="242"/>
    <tableColumn id="186" name="Stĺpec186" dataDxfId="241"/>
    <tableColumn id="187" name="Stĺpec187" dataDxfId="240"/>
    <tableColumn id="188" name="Stĺpec188" dataDxfId="239"/>
    <tableColumn id="189" name="Stĺpec189" dataDxfId="238"/>
    <tableColumn id="190" name="Stĺpec190" dataDxfId="237"/>
    <tableColumn id="191" name="Stĺpec191" dataDxfId="236"/>
    <tableColumn id="192" name="Stĺpec192" dataDxfId="235"/>
    <tableColumn id="422" name="Stĺpec422" dataDxfId="234"/>
    <tableColumn id="421" name="Stĺpec421" dataDxfId="233"/>
    <tableColumn id="420" name="Stĺpec420" dataDxfId="232"/>
    <tableColumn id="193" name="Stĺpec193" dataDxfId="231"/>
    <tableColumn id="194" name="Stĺpec194" dataDxfId="230"/>
    <tableColumn id="195" name="Stĺpec195" dataDxfId="229"/>
    <tableColumn id="196" name="Stĺpec196" dataDxfId="228"/>
    <tableColumn id="197" name="Stĺpec197" dataDxfId="227"/>
    <tableColumn id="198" name="Stĺpec198" dataDxfId="226"/>
    <tableColumn id="199" name="Stĺpec199" dataDxfId="225"/>
    <tableColumn id="200" name="Stĺpec200" dataDxfId="224"/>
    <tableColumn id="201" name="Stĺpec201" dataDxfId="223"/>
    <tableColumn id="202" name="Stĺpec202" dataDxfId="222"/>
    <tableColumn id="203" name="Stĺpec203" dataDxfId="221"/>
    <tableColumn id="204" name="Stĺpec204" dataDxfId="220"/>
    <tableColumn id="205" name="Stĺpec205" dataDxfId="219"/>
    <tableColumn id="206" name="Stĺpec206" dataDxfId="218"/>
    <tableColumn id="207" name="Stĺpec207" dataDxfId="217"/>
    <tableColumn id="208" name="Stĺpec208" dataDxfId="216"/>
    <tableColumn id="209" name="Stĺpec209" dataDxfId="215"/>
    <tableColumn id="210" name="Stĺpec210" dataDxfId="214"/>
    <tableColumn id="211" name="Stĺpec211" dataDxfId="213"/>
    <tableColumn id="212" name="Stĺpec212" dataDxfId="212"/>
    <tableColumn id="213" name="Stĺpec213" dataDxfId="211"/>
    <tableColumn id="214" name="Stĺpec214" dataDxfId="210"/>
    <tableColumn id="215" name="Stĺpec215" dataDxfId="209"/>
    <tableColumn id="216" name="Stĺpec216" dataDxfId="208"/>
    <tableColumn id="217" name="Stĺpec217" dataDxfId="207"/>
    <tableColumn id="218" name="Stĺpec218" dataDxfId="206"/>
    <tableColumn id="219" name="Stĺpec219" dataDxfId="205"/>
    <tableColumn id="220" name="Stĺpec220" dataDxfId="204"/>
    <tableColumn id="221" name="Stĺpec221" dataDxfId="203"/>
    <tableColumn id="222" name="Stĺpec222" dataDxfId="202"/>
    <tableColumn id="223" name="Stĺpec223" dataDxfId="201"/>
    <tableColumn id="306" name="Stĺpec306" dataDxfId="43"/>
    <tableColumn id="305" name="Stĺpec305" dataDxfId="44"/>
    <tableColumn id="304" name="Stĺpec304" dataDxfId="45"/>
    <tableColumn id="303" name="Stĺpec303" dataDxfId="46"/>
    <tableColumn id="302" name="Stĺpec302" dataDxfId="47"/>
    <tableColumn id="301" name="Stĺpec301" dataDxfId="48"/>
    <tableColumn id="300" name="Stĺpec300" dataDxfId="49"/>
    <tableColumn id="299" name="Stĺpec299" dataDxfId="50"/>
    <tableColumn id="298" name="Stĺpec298" dataDxfId="51"/>
    <tableColumn id="297" name="Stĺpec297" dataDxfId="52"/>
    <tableColumn id="296" name="Stĺpec296" dataDxfId="53"/>
    <tableColumn id="295" name="Stĺpec295" dataDxfId="54"/>
    <tableColumn id="294" name="Stĺpec294" dataDxfId="55"/>
    <tableColumn id="293" name="Stĺpec293" dataDxfId="56"/>
    <tableColumn id="292" name="Stĺpec292" dataDxfId="57"/>
    <tableColumn id="291" name="Stĺpec291" dataDxfId="58"/>
    <tableColumn id="290" name="Stĺpec290" dataDxfId="59"/>
    <tableColumn id="289" name="Stĺpec289" dataDxfId="60"/>
    <tableColumn id="288" name="Stĺpec288" dataDxfId="61"/>
    <tableColumn id="287" name="Stĺpec287" dataDxfId="62"/>
    <tableColumn id="286" name="Stĺpec286" dataDxfId="63"/>
    <tableColumn id="285" name="Stĺpec285" dataDxfId="64"/>
    <tableColumn id="284" name="Stĺpec284" dataDxfId="65"/>
    <tableColumn id="283" name="Stĺpec283" dataDxfId="66"/>
    <tableColumn id="282" name="Stĺpec282" dataDxfId="67"/>
    <tableColumn id="281" name="Stĺpec281" dataDxfId="68"/>
    <tableColumn id="280" name="Stĺpec280" dataDxfId="69"/>
    <tableColumn id="279" name="Stĺpec279" dataDxfId="70"/>
    <tableColumn id="278" name="Stĺpec278" dataDxfId="71"/>
    <tableColumn id="277" name="Stĺpec277" dataDxfId="72"/>
    <tableColumn id="224" name="Stĺpec224" dataDxfId="200"/>
    <tableColumn id="225" name="Stĺpec225" dataDxfId="19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</sheetPr>
  <dimension ref="A1:LF88"/>
  <sheetViews>
    <sheetView showGridLines="0" tabSelected="1" zoomScaleNormal="100" workbookViewId="0">
      <pane xSplit="9" ySplit="7" topLeftCell="J8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3.2" x14ac:dyDescent="0.25"/>
  <cols>
    <col min="1" max="1" width="9.88671875" style="14" customWidth="1"/>
    <col min="2" max="2" width="26.5546875" style="54" customWidth="1"/>
    <col min="3" max="3" width="12" style="1" customWidth="1"/>
    <col min="4" max="4" width="21.5546875" customWidth="1"/>
    <col min="5" max="5" width="10.88671875" style="1" customWidth="1"/>
    <col min="6" max="6" width="9.88671875" style="1" customWidth="1"/>
    <col min="7" max="7" width="27.5546875" customWidth="1"/>
    <col min="8" max="8" width="10.109375" style="1" customWidth="1"/>
    <col min="9" max="9" width="9.88671875" style="14" customWidth="1"/>
    <col min="10" max="30" width="4.6640625" customWidth="1"/>
    <col min="31" max="31" width="6.33203125" customWidth="1"/>
    <col min="32" max="32" width="6.44140625" customWidth="1"/>
    <col min="33" max="86" width="4.6640625" customWidth="1"/>
    <col min="87" max="87" width="9.88671875" customWidth="1"/>
    <col min="88" max="130" width="4.6640625" customWidth="1"/>
    <col min="131" max="131" width="5.109375" customWidth="1"/>
    <col min="132" max="132" width="5.44140625" customWidth="1"/>
    <col min="133" max="133" width="5.109375" customWidth="1"/>
    <col min="134" max="218" width="4.6640625" customWidth="1"/>
    <col min="219" max="219" width="12.5546875" customWidth="1"/>
    <col min="220" max="263" width="4.6640625" customWidth="1"/>
    <col min="264" max="264" width="5.88671875" customWidth="1"/>
    <col min="265" max="265" width="6.44140625" customWidth="1"/>
    <col min="266" max="266" width="12.109375" customWidth="1"/>
    <col min="267" max="277" width="4.6640625" customWidth="1"/>
    <col min="278" max="278" width="9.44140625" customWidth="1"/>
    <col min="279" max="318" width="4.6640625" customWidth="1"/>
  </cols>
  <sheetData>
    <row r="1" spans="1:318" ht="24.9" customHeight="1" x14ac:dyDescent="0.4">
      <c r="A1" s="313" t="s">
        <v>0</v>
      </c>
      <c r="B1" s="314"/>
      <c r="C1" s="314"/>
      <c r="D1" s="314"/>
      <c r="E1" s="314"/>
      <c r="F1" s="314"/>
      <c r="G1" s="314"/>
      <c r="J1" s="1"/>
      <c r="K1" s="11" t="s">
        <v>1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1" t="s">
        <v>1</v>
      </c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1" t="s">
        <v>1</v>
      </c>
      <c r="GC1" s="1"/>
      <c r="GD1" s="1"/>
      <c r="GE1" s="1"/>
      <c r="GF1" s="11" t="s">
        <v>1</v>
      </c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</row>
    <row r="2" spans="1:318" ht="15" customHeight="1" x14ac:dyDescent="0.4">
      <c r="A2" s="18"/>
      <c r="B2" s="54" t="s">
        <v>1</v>
      </c>
      <c r="C2" s="11"/>
      <c r="D2" s="1"/>
      <c r="G2" s="1"/>
      <c r="H2" s="30"/>
      <c r="I2" s="31"/>
      <c r="J2" s="1"/>
      <c r="K2" s="1"/>
      <c r="L2" s="1"/>
      <c r="M2" s="11" t="s">
        <v>1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1" t="s">
        <v>1</v>
      </c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1" t="s">
        <v>1</v>
      </c>
      <c r="FH2" s="1"/>
      <c r="FI2" s="1"/>
      <c r="FJ2" s="1"/>
      <c r="FK2" s="1"/>
      <c r="FL2" s="1" t="s">
        <v>1</v>
      </c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</row>
    <row r="3" spans="1:318" ht="24.9" customHeight="1" x14ac:dyDescent="0.4">
      <c r="A3" s="315" t="s">
        <v>2</v>
      </c>
      <c r="B3" s="315"/>
      <c r="C3" s="315"/>
      <c r="D3" s="315"/>
      <c r="E3" s="315"/>
      <c r="F3" s="315"/>
      <c r="G3" s="315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 t="s">
        <v>1</v>
      </c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</row>
    <row r="4" spans="1:318" ht="15" customHeight="1" x14ac:dyDescent="0.25"/>
    <row r="5" spans="1:318" ht="14.4" x14ac:dyDescent="0.3">
      <c r="A5" s="316" t="s">
        <v>3</v>
      </c>
      <c r="B5" s="307" t="s">
        <v>4</v>
      </c>
      <c r="C5" s="307" t="s">
        <v>5</v>
      </c>
      <c r="D5" s="307" t="s">
        <v>6</v>
      </c>
      <c r="E5" s="307" t="s">
        <v>5</v>
      </c>
      <c r="F5" s="307" t="s">
        <v>7</v>
      </c>
      <c r="G5" s="307" t="s">
        <v>8</v>
      </c>
      <c r="H5" s="310" t="s">
        <v>9</v>
      </c>
      <c r="I5" s="310" t="s">
        <v>10</v>
      </c>
      <c r="J5" s="35" t="s">
        <v>11</v>
      </c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9"/>
      <c r="X5" s="38" t="s">
        <v>12</v>
      </c>
      <c r="Y5" s="35"/>
      <c r="Z5" s="35"/>
      <c r="AA5" s="35"/>
      <c r="AB5" s="35"/>
      <c r="AC5" s="35"/>
      <c r="AD5" s="35"/>
      <c r="AE5" s="110" t="s">
        <v>12</v>
      </c>
      <c r="AF5" s="111"/>
      <c r="AG5" s="35" t="s">
        <v>13</v>
      </c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8" t="s">
        <v>14</v>
      </c>
      <c r="AT5" s="35"/>
      <c r="AU5" s="39"/>
      <c r="AV5" s="35" t="s">
        <v>15</v>
      </c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107"/>
      <c r="BJ5" s="35" t="s">
        <v>16</v>
      </c>
      <c r="BK5" s="35"/>
      <c r="BL5" s="155" t="s">
        <v>16</v>
      </c>
      <c r="BM5" s="39"/>
      <c r="BN5" s="35" t="s">
        <v>17</v>
      </c>
      <c r="BO5" s="35"/>
      <c r="BP5" s="38" t="s">
        <v>18</v>
      </c>
      <c r="BQ5" s="39"/>
      <c r="BR5" s="35"/>
      <c r="BS5" s="35"/>
      <c r="BT5" s="35"/>
      <c r="BU5" s="39"/>
      <c r="BV5" s="35" t="s">
        <v>19</v>
      </c>
      <c r="BW5" s="38" t="s">
        <v>20</v>
      </c>
      <c r="BX5" s="39"/>
      <c r="BY5" s="35" t="s">
        <v>21</v>
      </c>
      <c r="BZ5" s="35"/>
      <c r="CA5" s="38" t="s">
        <v>22</v>
      </c>
      <c r="CB5" s="39"/>
      <c r="CC5" s="35" t="s">
        <v>22</v>
      </c>
      <c r="CD5" s="38" t="s">
        <v>23</v>
      </c>
      <c r="CE5" s="35"/>
      <c r="CF5" s="35"/>
      <c r="CG5" s="35"/>
      <c r="CH5" s="39"/>
      <c r="CI5" s="73" t="s">
        <v>24</v>
      </c>
      <c r="CJ5" s="35" t="s">
        <v>25</v>
      </c>
      <c r="CK5" s="35"/>
      <c r="CL5" s="35"/>
      <c r="CM5" s="35"/>
      <c r="CN5" s="35"/>
      <c r="CO5" s="35"/>
      <c r="CP5" s="35"/>
      <c r="CQ5" s="35"/>
      <c r="CR5" s="154"/>
      <c r="CS5" s="35"/>
      <c r="CT5" s="35"/>
      <c r="CU5" s="35"/>
      <c r="CV5" s="35"/>
      <c r="CW5" s="35"/>
      <c r="CX5" s="35"/>
      <c r="CY5" s="35"/>
      <c r="CZ5" s="38" t="s">
        <v>25</v>
      </c>
      <c r="DA5" s="39"/>
      <c r="DB5" s="35" t="s">
        <v>26</v>
      </c>
      <c r="DC5" s="35"/>
      <c r="DD5" s="35"/>
      <c r="DE5" s="35"/>
      <c r="DF5" s="35"/>
      <c r="DG5" s="35"/>
      <c r="DH5" s="35"/>
      <c r="DI5" s="38" t="s">
        <v>27</v>
      </c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279" t="s">
        <v>28</v>
      </c>
      <c r="DZ5" s="280"/>
      <c r="EA5" s="35" t="s">
        <v>29</v>
      </c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8" t="s">
        <v>30</v>
      </c>
      <c r="EO5" s="35"/>
      <c r="EP5" s="39"/>
      <c r="EQ5" s="35" t="s">
        <v>31</v>
      </c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9"/>
      <c r="FG5" s="35" t="s">
        <v>32</v>
      </c>
      <c r="FH5" s="35"/>
      <c r="FI5" s="35"/>
      <c r="FJ5" s="35"/>
      <c r="FK5" s="35"/>
      <c r="FL5" s="35"/>
      <c r="FM5" s="38" t="s">
        <v>32</v>
      </c>
      <c r="FN5" s="35"/>
      <c r="FO5" s="39"/>
      <c r="FP5" s="35" t="s">
        <v>33</v>
      </c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8" t="s">
        <v>34</v>
      </c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9"/>
      <c r="HC5" s="35" t="s">
        <v>35</v>
      </c>
      <c r="HD5" s="35"/>
      <c r="HE5" s="38" t="s">
        <v>36</v>
      </c>
      <c r="HF5" s="35"/>
      <c r="HG5" s="35"/>
      <c r="HH5" s="35"/>
      <c r="HI5" s="35"/>
      <c r="HJ5" s="39"/>
      <c r="HK5" s="35" t="s">
        <v>36</v>
      </c>
      <c r="HL5" s="38" t="s">
        <v>37</v>
      </c>
      <c r="HM5" s="35"/>
      <c r="HN5" s="35"/>
      <c r="HO5" s="35"/>
      <c r="HP5" s="35"/>
      <c r="HQ5" s="35"/>
      <c r="HR5" s="35"/>
      <c r="HS5" s="39"/>
      <c r="HT5" s="35" t="s">
        <v>38</v>
      </c>
      <c r="HU5" s="35"/>
      <c r="HV5" s="35"/>
      <c r="HW5" s="35"/>
      <c r="HX5" s="35"/>
      <c r="HY5" s="35"/>
      <c r="HZ5" s="38" t="s">
        <v>39</v>
      </c>
      <c r="IA5" s="35"/>
      <c r="IB5" s="35"/>
      <c r="IC5" s="35"/>
      <c r="ID5" s="35"/>
      <c r="IE5" s="35"/>
      <c r="IF5" s="35"/>
      <c r="IG5" s="35"/>
      <c r="IH5" s="35"/>
      <c r="II5" s="39"/>
      <c r="IJ5" s="35" t="s">
        <v>40</v>
      </c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8" t="s">
        <v>41</v>
      </c>
      <c r="IZ5" s="39"/>
      <c r="JA5" s="35" t="s">
        <v>42</v>
      </c>
      <c r="JB5" s="35"/>
      <c r="JC5" s="35"/>
      <c r="JD5" s="38" t="s">
        <v>42</v>
      </c>
      <c r="JE5" s="39"/>
      <c r="JF5" s="35" t="s">
        <v>43</v>
      </c>
      <c r="JG5" s="38" t="s">
        <v>44</v>
      </c>
      <c r="JH5" s="35"/>
      <c r="JI5" s="35"/>
      <c r="JJ5" s="35"/>
      <c r="JK5" s="35"/>
      <c r="JL5" s="35"/>
      <c r="JM5" s="35"/>
      <c r="JN5" s="35"/>
      <c r="JO5" s="35"/>
      <c r="JP5" s="35"/>
      <c r="JQ5" s="39"/>
      <c r="JR5" s="35" t="s">
        <v>45</v>
      </c>
      <c r="JS5" s="290" t="s">
        <v>46</v>
      </c>
      <c r="JT5" s="291"/>
      <c r="JU5" s="291"/>
      <c r="JV5" s="291"/>
      <c r="JW5" s="291"/>
      <c r="JX5" s="292"/>
      <c r="JY5" s="35" t="s">
        <v>450</v>
      </c>
      <c r="JZ5" s="35"/>
      <c r="KA5" s="39"/>
      <c r="KB5" s="35" t="s">
        <v>451</v>
      </c>
      <c r="KC5" s="35"/>
      <c r="KD5" s="35"/>
      <c r="KE5" s="35"/>
      <c r="KF5" s="35"/>
      <c r="KG5" s="35"/>
      <c r="KH5" s="35"/>
      <c r="KI5" s="35"/>
      <c r="KJ5" s="38" t="s">
        <v>452</v>
      </c>
      <c r="KK5" s="35"/>
      <c r="KL5" s="35"/>
      <c r="KM5" s="35"/>
      <c r="KN5" s="39"/>
      <c r="KO5" s="35" t="s">
        <v>453</v>
      </c>
      <c r="KP5" s="35"/>
      <c r="KQ5" s="35"/>
      <c r="KR5" s="35"/>
      <c r="KS5" s="35"/>
      <c r="KT5" s="35"/>
      <c r="KU5" s="38" t="s">
        <v>454</v>
      </c>
      <c r="KV5" s="35"/>
      <c r="KW5" s="35"/>
      <c r="KX5" s="35"/>
      <c r="KY5" s="35"/>
      <c r="KZ5" s="35"/>
      <c r="LA5" s="35"/>
      <c r="LB5" s="35"/>
      <c r="LC5" s="35"/>
      <c r="LD5" s="35"/>
      <c r="LE5" s="35"/>
      <c r="LF5" s="39"/>
    </row>
    <row r="6" spans="1:318" ht="14.4" x14ac:dyDescent="0.3">
      <c r="A6" s="317"/>
      <c r="B6" s="308"/>
      <c r="C6" s="308"/>
      <c r="D6" s="308"/>
      <c r="E6" s="308"/>
      <c r="F6" s="308"/>
      <c r="G6" s="308"/>
      <c r="H6" s="311"/>
      <c r="I6" s="311"/>
      <c r="J6" s="36" t="s">
        <v>47</v>
      </c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41"/>
      <c r="X6" s="40" t="s">
        <v>47</v>
      </c>
      <c r="Y6" s="36"/>
      <c r="Z6" s="36"/>
      <c r="AA6" s="36"/>
      <c r="AB6" s="36"/>
      <c r="AC6" s="36"/>
      <c r="AD6" s="36"/>
      <c r="AE6" s="112" t="s">
        <v>48</v>
      </c>
      <c r="AF6" s="113"/>
      <c r="AG6" s="36" t="s">
        <v>47</v>
      </c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40" t="s">
        <v>49</v>
      </c>
      <c r="AT6" s="36"/>
      <c r="AU6" s="41"/>
      <c r="AV6" s="36" t="s">
        <v>47</v>
      </c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108"/>
      <c r="BJ6" s="152" t="s">
        <v>50</v>
      </c>
      <c r="BK6" s="36"/>
      <c r="BL6" s="156" t="s">
        <v>51</v>
      </c>
      <c r="BM6" s="41"/>
      <c r="BN6" s="36" t="s">
        <v>52</v>
      </c>
      <c r="BO6" s="36"/>
      <c r="BP6" s="40" t="s">
        <v>53</v>
      </c>
      <c r="BQ6" s="41"/>
      <c r="BR6" s="36"/>
      <c r="BS6" s="36"/>
      <c r="BT6" s="36"/>
      <c r="BU6" s="41"/>
      <c r="BV6" s="36" t="s">
        <v>54</v>
      </c>
      <c r="BW6" s="40" t="s">
        <v>55</v>
      </c>
      <c r="BX6" s="41"/>
      <c r="BY6" s="36" t="s">
        <v>56</v>
      </c>
      <c r="BZ6" s="36"/>
      <c r="CA6" s="40" t="s">
        <v>57</v>
      </c>
      <c r="CB6" s="41"/>
      <c r="CC6" s="36" t="s">
        <v>58</v>
      </c>
      <c r="CD6" s="40" t="s">
        <v>59</v>
      </c>
      <c r="CE6" s="36"/>
      <c r="CF6" s="36"/>
      <c r="CG6" s="36"/>
      <c r="CH6" s="41"/>
      <c r="CI6" s="247" t="s">
        <v>48</v>
      </c>
      <c r="CJ6" s="36" t="s">
        <v>60</v>
      </c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40" t="s">
        <v>61</v>
      </c>
      <c r="DA6" s="41"/>
      <c r="DB6" s="36" t="s">
        <v>62</v>
      </c>
      <c r="DC6" s="36"/>
      <c r="DD6" s="36"/>
      <c r="DE6" s="36"/>
      <c r="DF6" s="36"/>
      <c r="DG6" s="36"/>
      <c r="DH6" s="36"/>
      <c r="DI6" s="40" t="s">
        <v>63</v>
      </c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281" t="s">
        <v>64</v>
      </c>
      <c r="DZ6" s="282"/>
      <c r="EA6" s="36" t="s">
        <v>47</v>
      </c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40" t="s">
        <v>65</v>
      </c>
      <c r="EO6" s="36"/>
      <c r="EP6" s="41"/>
      <c r="EQ6" s="36" t="s">
        <v>63</v>
      </c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41"/>
      <c r="FG6" s="36" t="s">
        <v>66</v>
      </c>
      <c r="FH6" s="36"/>
      <c r="FI6" s="36"/>
      <c r="FJ6" s="36"/>
      <c r="FK6" s="36"/>
      <c r="FL6" s="36"/>
      <c r="FM6" s="40" t="s">
        <v>48</v>
      </c>
      <c r="FN6" s="36"/>
      <c r="FO6" s="41"/>
      <c r="FP6" s="36" t="s">
        <v>60</v>
      </c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40" t="s">
        <v>63</v>
      </c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41"/>
      <c r="HC6" s="263" t="s">
        <v>50</v>
      </c>
      <c r="HD6" s="36"/>
      <c r="HE6" s="40" t="s">
        <v>67</v>
      </c>
      <c r="HF6" s="36"/>
      <c r="HG6" s="36"/>
      <c r="HH6" s="36"/>
      <c r="HI6" s="36"/>
      <c r="HJ6" s="41"/>
      <c r="HK6" s="36" t="s">
        <v>68</v>
      </c>
      <c r="HL6" s="40" t="s">
        <v>69</v>
      </c>
      <c r="HM6" s="36"/>
      <c r="HN6" s="36"/>
      <c r="HO6" s="36"/>
      <c r="HP6" s="36"/>
      <c r="HQ6" s="36"/>
      <c r="HR6" s="36"/>
      <c r="HS6" s="41"/>
      <c r="HT6" s="36" t="s">
        <v>60</v>
      </c>
      <c r="HU6" s="36"/>
      <c r="HV6" s="36"/>
      <c r="HW6" s="36"/>
      <c r="HX6" s="36"/>
      <c r="HY6" s="36"/>
      <c r="HZ6" s="40" t="s">
        <v>70</v>
      </c>
      <c r="IA6" s="36"/>
      <c r="IB6" s="36"/>
      <c r="IC6" s="36"/>
      <c r="ID6" s="36"/>
      <c r="IE6" s="36"/>
      <c r="IF6" s="36"/>
      <c r="IG6" s="36"/>
      <c r="IH6" s="36"/>
      <c r="II6" s="41"/>
      <c r="IJ6" s="36" t="s">
        <v>71</v>
      </c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40" t="s">
        <v>72</v>
      </c>
      <c r="IZ6" s="41"/>
      <c r="JA6" s="289" t="s">
        <v>73</v>
      </c>
      <c r="JB6" s="36"/>
      <c r="JC6" s="36"/>
      <c r="JD6" s="288" t="s">
        <v>50</v>
      </c>
      <c r="JE6" s="41"/>
      <c r="JF6" s="152" t="s">
        <v>74</v>
      </c>
      <c r="JG6" s="40" t="s">
        <v>75</v>
      </c>
      <c r="JH6" s="36"/>
      <c r="JI6" s="36"/>
      <c r="JJ6" s="36"/>
      <c r="JK6" s="36"/>
      <c r="JL6" s="36"/>
      <c r="JM6" s="36"/>
      <c r="JN6" s="36"/>
      <c r="JO6" s="36"/>
      <c r="JP6" s="36"/>
      <c r="JQ6" s="41"/>
      <c r="JR6" s="263" t="s">
        <v>76</v>
      </c>
      <c r="JS6" s="40" t="s">
        <v>77</v>
      </c>
      <c r="JT6" s="36"/>
      <c r="JU6" s="36"/>
      <c r="JV6" s="36"/>
      <c r="JW6" s="36"/>
      <c r="JX6" s="41"/>
      <c r="JY6" s="36" t="s">
        <v>455</v>
      </c>
      <c r="JZ6" s="36"/>
      <c r="KA6" s="41"/>
      <c r="KB6" s="36" t="s">
        <v>456</v>
      </c>
      <c r="KC6" s="36"/>
      <c r="KD6" s="36"/>
      <c r="KE6" s="36"/>
      <c r="KF6" s="36"/>
      <c r="KG6" s="36"/>
      <c r="KH6" s="36"/>
      <c r="KI6" s="36"/>
      <c r="KJ6" s="40" t="s">
        <v>457</v>
      </c>
      <c r="KK6" s="36"/>
      <c r="KL6" s="36"/>
      <c r="KM6" s="36"/>
      <c r="KN6" s="41"/>
      <c r="KO6" s="36" t="s">
        <v>51</v>
      </c>
      <c r="KP6" s="36"/>
      <c r="KQ6" s="36"/>
      <c r="KR6" s="36"/>
      <c r="KS6" s="36"/>
      <c r="KT6" s="36"/>
      <c r="KU6" s="40" t="s">
        <v>47</v>
      </c>
      <c r="KV6" s="36"/>
      <c r="KW6" s="36"/>
      <c r="KX6" s="36"/>
      <c r="KY6" s="36"/>
      <c r="KZ6" s="36"/>
      <c r="LA6" s="36"/>
      <c r="LB6" s="36"/>
      <c r="LC6" s="36"/>
      <c r="LD6" s="36"/>
      <c r="LE6" s="36"/>
      <c r="LF6" s="41"/>
    </row>
    <row r="7" spans="1:318" s="1" customFormat="1" ht="18" customHeight="1" x14ac:dyDescent="0.3">
      <c r="A7" s="318"/>
      <c r="B7" s="309"/>
      <c r="C7" s="309"/>
      <c r="D7" s="309"/>
      <c r="E7" s="309"/>
      <c r="F7" s="309"/>
      <c r="G7" s="309"/>
      <c r="H7" s="312"/>
      <c r="I7" s="312"/>
      <c r="J7" s="67" t="s">
        <v>78</v>
      </c>
      <c r="K7" s="67" t="s">
        <v>79</v>
      </c>
      <c r="L7" s="67" t="s">
        <v>80</v>
      </c>
      <c r="M7" s="67" t="s">
        <v>81</v>
      </c>
      <c r="N7" s="67" t="s">
        <v>82</v>
      </c>
      <c r="O7" s="67" t="s">
        <v>83</v>
      </c>
      <c r="P7" s="67" t="s">
        <v>84</v>
      </c>
      <c r="Q7" s="67" t="s">
        <v>78</v>
      </c>
      <c r="R7" s="67" t="s">
        <v>79</v>
      </c>
      <c r="S7" s="67" t="s">
        <v>80</v>
      </c>
      <c r="T7" s="67" t="s">
        <v>81</v>
      </c>
      <c r="U7" s="67" t="s">
        <v>82</v>
      </c>
      <c r="V7" s="67" t="s">
        <v>83</v>
      </c>
      <c r="W7" s="69" t="s">
        <v>84</v>
      </c>
      <c r="X7" s="68" t="s">
        <v>78</v>
      </c>
      <c r="Y7" s="67" t="s">
        <v>81</v>
      </c>
      <c r="Z7" s="67" t="s">
        <v>80</v>
      </c>
      <c r="AA7" s="67" t="s">
        <v>82</v>
      </c>
      <c r="AB7" s="67" t="s">
        <v>85</v>
      </c>
      <c r="AC7" s="67" t="s">
        <v>78</v>
      </c>
      <c r="AD7" s="67" t="s">
        <v>84</v>
      </c>
      <c r="AE7" s="114" t="s">
        <v>86</v>
      </c>
      <c r="AF7" s="115" t="s">
        <v>87</v>
      </c>
      <c r="AG7" s="67" t="s">
        <v>78</v>
      </c>
      <c r="AH7" s="67" t="s">
        <v>79</v>
      </c>
      <c r="AI7" s="67" t="s">
        <v>80</v>
      </c>
      <c r="AJ7" s="67" t="s">
        <v>81</v>
      </c>
      <c r="AK7" s="67" t="s">
        <v>82</v>
      </c>
      <c r="AL7" s="67" t="s">
        <v>83</v>
      </c>
      <c r="AM7" s="67" t="s">
        <v>84</v>
      </c>
      <c r="AN7" s="67" t="s">
        <v>85</v>
      </c>
      <c r="AO7" s="67" t="s">
        <v>79</v>
      </c>
      <c r="AP7" s="67" t="s">
        <v>88</v>
      </c>
      <c r="AQ7" s="67" t="s">
        <v>89</v>
      </c>
      <c r="AR7" s="67" t="s">
        <v>85</v>
      </c>
      <c r="AS7" s="68" t="s">
        <v>84</v>
      </c>
      <c r="AT7" s="67" t="s">
        <v>89</v>
      </c>
      <c r="AU7" s="69" t="s">
        <v>90</v>
      </c>
      <c r="AV7" s="67" t="s">
        <v>78</v>
      </c>
      <c r="AW7" s="67" t="s">
        <v>79</v>
      </c>
      <c r="AX7" s="67" t="s">
        <v>80</v>
      </c>
      <c r="AY7" s="67" t="s">
        <v>81</v>
      </c>
      <c r="AZ7" s="67" t="s">
        <v>82</v>
      </c>
      <c r="BA7" s="67" t="s">
        <v>83</v>
      </c>
      <c r="BB7" s="67" t="s">
        <v>84</v>
      </c>
      <c r="BC7" s="67" t="s">
        <v>91</v>
      </c>
      <c r="BD7" s="67" t="s">
        <v>79</v>
      </c>
      <c r="BE7" s="67" t="s">
        <v>80</v>
      </c>
      <c r="BF7" s="67" t="s">
        <v>88</v>
      </c>
      <c r="BG7" s="67" t="s">
        <v>89</v>
      </c>
      <c r="BH7" s="67" t="s">
        <v>85</v>
      </c>
      <c r="BI7" s="109" t="s">
        <v>91</v>
      </c>
      <c r="BJ7" s="67" t="s">
        <v>86</v>
      </c>
      <c r="BK7" s="67" t="s">
        <v>87</v>
      </c>
      <c r="BL7" s="157" t="s">
        <v>92</v>
      </c>
      <c r="BM7" s="69" t="s">
        <v>93</v>
      </c>
      <c r="BN7" s="67" t="s">
        <v>84</v>
      </c>
      <c r="BO7" s="67" t="s">
        <v>89</v>
      </c>
      <c r="BP7" s="68" t="s">
        <v>85</v>
      </c>
      <c r="BQ7" s="153" t="s">
        <v>94</v>
      </c>
      <c r="BR7" s="67" t="s">
        <v>91</v>
      </c>
      <c r="BS7" s="67" t="s">
        <v>95</v>
      </c>
      <c r="BT7" s="67" t="s">
        <v>96</v>
      </c>
      <c r="BU7" s="69" t="s">
        <v>97</v>
      </c>
      <c r="BV7" s="67" t="s">
        <v>84</v>
      </c>
      <c r="BW7" s="68" t="s">
        <v>85</v>
      </c>
      <c r="BX7" s="69" t="s">
        <v>86</v>
      </c>
      <c r="BY7" s="67" t="s">
        <v>98</v>
      </c>
      <c r="BZ7" s="67" t="s">
        <v>93</v>
      </c>
      <c r="CA7" s="68" t="s">
        <v>95</v>
      </c>
      <c r="CB7" s="69" t="s">
        <v>99</v>
      </c>
      <c r="CC7" s="67" t="s">
        <v>91</v>
      </c>
      <c r="CD7" s="68" t="s">
        <v>100</v>
      </c>
      <c r="CE7" s="67" t="s">
        <v>91</v>
      </c>
      <c r="CF7" s="67" t="s">
        <v>101</v>
      </c>
      <c r="CG7" s="67" t="s">
        <v>96</v>
      </c>
      <c r="CH7" s="69" t="s">
        <v>102</v>
      </c>
      <c r="CI7" s="70" t="s">
        <v>93</v>
      </c>
      <c r="CJ7" s="67" t="s">
        <v>80</v>
      </c>
      <c r="CK7" s="67" t="s">
        <v>82</v>
      </c>
      <c r="CL7" s="67" t="s">
        <v>98</v>
      </c>
      <c r="CM7" s="67" t="s">
        <v>88</v>
      </c>
      <c r="CN7" s="67" t="s">
        <v>83</v>
      </c>
      <c r="CO7" s="67" t="s">
        <v>91</v>
      </c>
      <c r="CP7" s="67" t="s">
        <v>95</v>
      </c>
      <c r="CQ7" s="67" t="s">
        <v>81</v>
      </c>
      <c r="CR7" s="67" t="s">
        <v>103</v>
      </c>
      <c r="CS7" s="67" t="s">
        <v>104</v>
      </c>
      <c r="CT7" s="67" t="s">
        <v>101</v>
      </c>
      <c r="CU7" s="67" t="s">
        <v>89</v>
      </c>
      <c r="CV7" s="67" t="s">
        <v>87</v>
      </c>
      <c r="CW7" s="67" t="s">
        <v>96</v>
      </c>
      <c r="CX7" s="67" t="s">
        <v>97</v>
      </c>
      <c r="CY7" s="67" t="s">
        <v>83</v>
      </c>
      <c r="CZ7" s="68" t="s">
        <v>84</v>
      </c>
      <c r="DA7" s="69" t="s">
        <v>89</v>
      </c>
      <c r="DB7" s="67" t="s">
        <v>91</v>
      </c>
      <c r="DC7" s="67" t="s">
        <v>84</v>
      </c>
      <c r="DD7" s="67" t="s">
        <v>95</v>
      </c>
      <c r="DE7" s="67" t="s">
        <v>89</v>
      </c>
      <c r="DF7" s="67" t="s">
        <v>96</v>
      </c>
      <c r="DG7" s="67" t="s">
        <v>90</v>
      </c>
      <c r="DH7" s="67" t="s">
        <v>97</v>
      </c>
      <c r="DI7" s="68" t="s">
        <v>80</v>
      </c>
      <c r="DJ7" s="67" t="s">
        <v>98</v>
      </c>
      <c r="DK7" s="67" t="s">
        <v>100</v>
      </c>
      <c r="DL7" s="67" t="s">
        <v>82</v>
      </c>
      <c r="DM7" s="67" t="s">
        <v>88</v>
      </c>
      <c r="DN7" s="67" t="s">
        <v>83</v>
      </c>
      <c r="DO7" s="67" t="s">
        <v>85</v>
      </c>
      <c r="DP7" s="67" t="s">
        <v>96</v>
      </c>
      <c r="DQ7" s="67" t="s">
        <v>80</v>
      </c>
      <c r="DR7" s="67" t="s">
        <v>103</v>
      </c>
      <c r="DS7" s="67" t="s">
        <v>101</v>
      </c>
      <c r="DT7" s="67" t="s">
        <v>81</v>
      </c>
      <c r="DU7" s="67" t="s">
        <v>104</v>
      </c>
      <c r="DV7" s="67" t="s">
        <v>84</v>
      </c>
      <c r="DW7" s="67" t="s">
        <v>91</v>
      </c>
      <c r="DX7" s="67" t="s">
        <v>102</v>
      </c>
      <c r="DY7" s="283" t="s">
        <v>93</v>
      </c>
      <c r="DZ7" s="284" t="s">
        <v>92</v>
      </c>
      <c r="EA7" s="37" t="s">
        <v>78</v>
      </c>
      <c r="EB7" s="37" t="s">
        <v>79</v>
      </c>
      <c r="EC7" s="37" t="s">
        <v>93</v>
      </c>
      <c r="ED7" s="37" t="s">
        <v>81</v>
      </c>
      <c r="EE7" s="37" t="s">
        <v>82</v>
      </c>
      <c r="EF7" s="37" t="s">
        <v>83</v>
      </c>
      <c r="EG7" s="37" t="s">
        <v>84</v>
      </c>
      <c r="EH7" s="37" t="s">
        <v>78</v>
      </c>
      <c r="EI7" s="37" t="s">
        <v>79</v>
      </c>
      <c r="EJ7" s="37" t="s">
        <v>93</v>
      </c>
      <c r="EK7" s="37" t="s">
        <v>88</v>
      </c>
      <c r="EL7" s="37" t="s">
        <v>104</v>
      </c>
      <c r="EM7" s="37" t="s">
        <v>85</v>
      </c>
      <c r="EN7" s="68" t="s">
        <v>84</v>
      </c>
      <c r="EO7" s="67" t="s">
        <v>89</v>
      </c>
      <c r="EP7" s="69" t="s">
        <v>90</v>
      </c>
      <c r="EQ7" s="67" t="s">
        <v>80</v>
      </c>
      <c r="ER7" s="67" t="s">
        <v>98</v>
      </c>
      <c r="ES7" s="67" t="s">
        <v>93</v>
      </c>
      <c r="ET7" s="67" t="s">
        <v>82</v>
      </c>
      <c r="EU7" s="67" t="s">
        <v>88</v>
      </c>
      <c r="EV7" s="67" t="s">
        <v>84</v>
      </c>
      <c r="EW7" s="67" t="s">
        <v>85</v>
      </c>
      <c r="EX7" s="67" t="s">
        <v>102</v>
      </c>
      <c r="EY7" s="67" t="s">
        <v>80</v>
      </c>
      <c r="EZ7" s="67" t="s">
        <v>98</v>
      </c>
      <c r="FA7" s="67" t="s">
        <v>93</v>
      </c>
      <c r="FB7" s="67" t="s">
        <v>81</v>
      </c>
      <c r="FC7" s="67" t="s">
        <v>104</v>
      </c>
      <c r="FD7" s="67" t="s">
        <v>89</v>
      </c>
      <c r="FE7" s="67" t="s">
        <v>91</v>
      </c>
      <c r="FF7" s="69" t="s">
        <v>96</v>
      </c>
      <c r="FG7" s="67" t="s">
        <v>82</v>
      </c>
      <c r="FH7" s="67" t="s">
        <v>81</v>
      </c>
      <c r="FI7" s="67" t="s">
        <v>88</v>
      </c>
      <c r="FJ7" s="67" t="s">
        <v>105</v>
      </c>
      <c r="FK7" s="67" t="s">
        <v>83</v>
      </c>
      <c r="FL7" s="67" t="s">
        <v>84</v>
      </c>
      <c r="FM7" s="68" t="s">
        <v>80</v>
      </c>
      <c r="FN7" s="67" t="s">
        <v>93</v>
      </c>
      <c r="FO7" s="69" t="s">
        <v>106</v>
      </c>
      <c r="FP7" s="67" t="s">
        <v>82</v>
      </c>
      <c r="FQ7" s="67" t="s">
        <v>88</v>
      </c>
      <c r="FR7" s="67" t="s">
        <v>83</v>
      </c>
      <c r="FS7" s="67" t="s">
        <v>84</v>
      </c>
      <c r="FT7" s="67" t="s">
        <v>85</v>
      </c>
      <c r="FU7" s="67" t="s">
        <v>96</v>
      </c>
      <c r="FV7" s="67" t="s">
        <v>95</v>
      </c>
      <c r="FW7" s="67" t="s">
        <v>81</v>
      </c>
      <c r="FX7" s="67" t="s">
        <v>104</v>
      </c>
      <c r="FY7" s="67" t="s">
        <v>88</v>
      </c>
      <c r="FZ7" s="67" t="s">
        <v>101</v>
      </c>
      <c r="GA7" s="67" t="s">
        <v>83</v>
      </c>
      <c r="GB7" s="67" t="s">
        <v>91</v>
      </c>
      <c r="GC7" s="67" t="s">
        <v>96</v>
      </c>
      <c r="GD7" s="67" t="s">
        <v>97</v>
      </c>
      <c r="GE7" s="68" t="s">
        <v>80</v>
      </c>
      <c r="GF7" s="67" t="s">
        <v>79</v>
      </c>
      <c r="GG7" s="67" t="s">
        <v>82</v>
      </c>
      <c r="GH7" s="67" t="s">
        <v>88</v>
      </c>
      <c r="GI7" s="67" t="s">
        <v>83</v>
      </c>
      <c r="GJ7" s="67" t="s">
        <v>100</v>
      </c>
      <c r="GK7" s="67" t="s">
        <v>85</v>
      </c>
      <c r="GL7" s="67" t="s">
        <v>91</v>
      </c>
      <c r="GM7" s="67" t="s">
        <v>80</v>
      </c>
      <c r="GN7" s="67" t="s">
        <v>81</v>
      </c>
      <c r="GO7" s="67" t="s">
        <v>79</v>
      </c>
      <c r="GP7" s="67" t="s">
        <v>104</v>
      </c>
      <c r="GQ7" s="67" t="s">
        <v>107</v>
      </c>
      <c r="GR7" s="67" t="s">
        <v>84</v>
      </c>
      <c r="GS7" s="67" t="s">
        <v>91</v>
      </c>
      <c r="GT7" s="67" t="s">
        <v>102</v>
      </c>
      <c r="GU7" s="67" t="s">
        <v>108</v>
      </c>
      <c r="GV7" s="67" t="s">
        <v>80</v>
      </c>
      <c r="GW7" s="67" t="s">
        <v>82</v>
      </c>
      <c r="GX7" s="67" t="s">
        <v>109</v>
      </c>
      <c r="GY7" s="67" t="s">
        <v>88</v>
      </c>
      <c r="GZ7" s="67" t="s">
        <v>83</v>
      </c>
      <c r="HA7" s="67" t="s">
        <v>85</v>
      </c>
      <c r="HB7" s="69" t="s">
        <v>96</v>
      </c>
      <c r="HC7" s="67" t="s">
        <v>86</v>
      </c>
      <c r="HD7" s="67" t="s">
        <v>87</v>
      </c>
      <c r="HE7" s="68" t="s">
        <v>110</v>
      </c>
      <c r="HF7" s="67" t="s">
        <v>111</v>
      </c>
      <c r="HG7" s="67" t="s">
        <v>112</v>
      </c>
      <c r="HH7" s="67" t="s">
        <v>113</v>
      </c>
      <c r="HI7" s="67" t="s">
        <v>114</v>
      </c>
      <c r="HJ7" s="69" t="s">
        <v>105</v>
      </c>
      <c r="HK7" s="67" t="s">
        <v>93</v>
      </c>
      <c r="HL7" s="285" t="s">
        <v>91</v>
      </c>
      <c r="HM7" s="37" t="s">
        <v>96</v>
      </c>
      <c r="HN7" s="37" t="s">
        <v>102</v>
      </c>
      <c r="HO7" s="37" t="s">
        <v>84</v>
      </c>
      <c r="HP7" s="37" t="s">
        <v>89</v>
      </c>
      <c r="HQ7" s="37" t="s">
        <v>90</v>
      </c>
      <c r="HR7" s="37" t="s">
        <v>100</v>
      </c>
      <c r="HS7" s="286" t="s">
        <v>101</v>
      </c>
      <c r="HT7" s="37" t="s">
        <v>83</v>
      </c>
      <c r="HU7" s="37" t="s">
        <v>82</v>
      </c>
      <c r="HV7" s="37" t="s">
        <v>85</v>
      </c>
      <c r="HW7" s="37" t="s">
        <v>84</v>
      </c>
      <c r="HX7" s="37" t="s">
        <v>81</v>
      </c>
      <c r="HY7" s="37" t="s">
        <v>91</v>
      </c>
      <c r="HZ7" s="285" t="s">
        <v>96</v>
      </c>
      <c r="IA7" s="37" t="s">
        <v>93</v>
      </c>
      <c r="IB7" s="37" t="s">
        <v>98</v>
      </c>
      <c r="IC7" s="37" t="s">
        <v>91</v>
      </c>
      <c r="ID7" s="37" t="s">
        <v>82</v>
      </c>
      <c r="IE7" s="37" t="s">
        <v>100</v>
      </c>
      <c r="IF7" s="37" t="s">
        <v>88</v>
      </c>
      <c r="IG7" s="37" t="s">
        <v>87</v>
      </c>
      <c r="IH7" s="37" t="s">
        <v>102</v>
      </c>
      <c r="II7" s="286" t="s">
        <v>101</v>
      </c>
      <c r="IJ7" s="37" t="s">
        <v>82</v>
      </c>
      <c r="IK7" s="37" t="s">
        <v>81</v>
      </c>
      <c r="IL7" s="37" t="s">
        <v>83</v>
      </c>
      <c r="IM7" s="37" t="s">
        <v>82</v>
      </c>
      <c r="IN7" s="37" t="s">
        <v>88</v>
      </c>
      <c r="IO7" s="37" t="s">
        <v>115</v>
      </c>
      <c r="IP7" s="37" t="s">
        <v>84</v>
      </c>
      <c r="IQ7" s="37" t="s">
        <v>86</v>
      </c>
      <c r="IR7" s="37" t="s">
        <v>96</v>
      </c>
      <c r="IS7" s="37" t="s">
        <v>82</v>
      </c>
      <c r="IT7" s="37" t="s">
        <v>104</v>
      </c>
      <c r="IU7" s="37" t="s">
        <v>87</v>
      </c>
      <c r="IV7" s="37" t="s">
        <v>116</v>
      </c>
      <c r="IW7" s="37" t="s">
        <v>89</v>
      </c>
      <c r="IX7" s="37" t="s">
        <v>96</v>
      </c>
      <c r="IY7" s="285" t="s">
        <v>104</v>
      </c>
      <c r="IZ7" s="286" t="s">
        <v>108</v>
      </c>
      <c r="JA7" s="37" t="s">
        <v>91</v>
      </c>
      <c r="JB7" s="37" t="s">
        <v>91</v>
      </c>
      <c r="JC7" s="37" t="s">
        <v>96</v>
      </c>
      <c r="JD7" s="285" t="s">
        <v>91</v>
      </c>
      <c r="JE7" s="286" t="s">
        <v>96</v>
      </c>
      <c r="JF7" s="37" t="s">
        <v>95</v>
      </c>
      <c r="JG7" s="285" t="s">
        <v>80</v>
      </c>
      <c r="JH7" s="37" t="s">
        <v>82</v>
      </c>
      <c r="JI7" s="37" t="s">
        <v>88</v>
      </c>
      <c r="JJ7" s="37" t="s">
        <v>83</v>
      </c>
      <c r="JK7" s="37" t="s">
        <v>85</v>
      </c>
      <c r="JL7" s="37" t="s">
        <v>96</v>
      </c>
      <c r="JM7" s="37" t="s">
        <v>80</v>
      </c>
      <c r="JN7" s="37" t="s">
        <v>81</v>
      </c>
      <c r="JO7" s="37" t="s">
        <v>104</v>
      </c>
      <c r="JP7" s="37" t="s">
        <v>84</v>
      </c>
      <c r="JQ7" s="286" t="s">
        <v>91</v>
      </c>
      <c r="JR7" s="37" t="s">
        <v>117</v>
      </c>
      <c r="JS7" s="285" t="s">
        <v>78</v>
      </c>
      <c r="JT7" s="37" t="s">
        <v>82</v>
      </c>
      <c r="JU7" s="37" t="s">
        <v>80</v>
      </c>
      <c r="JV7" s="37" t="s">
        <v>88</v>
      </c>
      <c r="JW7" s="37" t="s">
        <v>84</v>
      </c>
      <c r="JX7" s="286" t="s">
        <v>85</v>
      </c>
      <c r="JY7" s="37" t="s">
        <v>84</v>
      </c>
      <c r="JZ7" s="37" t="s">
        <v>89</v>
      </c>
      <c r="KA7" s="286" t="s">
        <v>90</v>
      </c>
      <c r="KB7" s="37" t="s">
        <v>78</v>
      </c>
      <c r="KC7" s="37" t="s">
        <v>82</v>
      </c>
      <c r="KD7" s="37" t="s">
        <v>88</v>
      </c>
      <c r="KE7" s="37" t="s">
        <v>84</v>
      </c>
      <c r="KF7" s="37" t="s">
        <v>78</v>
      </c>
      <c r="KG7" s="37" t="s">
        <v>82</v>
      </c>
      <c r="KH7" s="37" t="s">
        <v>88</v>
      </c>
      <c r="KI7" s="37" t="s">
        <v>84</v>
      </c>
      <c r="KJ7" s="285" t="s">
        <v>458</v>
      </c>
      <c r="KK7" s="37" t="s">
        <v>459</v>
      </c>
      <c r="KL7" s="37" t="s">
        <v>434</v>
      </c>
      <c r="KM7" s="37" t="s">
        <v>460</v>
      </c>
      <c r="KN7" s="286" t="s">
        <v>434</v>
      </c>
      <c r="KO7" s="37" t="s">
        <v>84</v>
      </c>
      <c r="KP7" s="37" t="s">
        <v>89</v>
      </c>
      <c r="KQ7" s="37" t="s">
        <v>91</v>
      </c>
      <c r="KR7" s="37" t="s">
        <v>100</v>
      </c>
      <c r="KS7" s="37" t="s">
        <v>96</v>
      </c>
      <c r="KT7" s="37" t="s">
        <v>101</v>
      </c>
      <c r="KU7" s="285" t="s">
        <v>78</v>
      </c>
      <c r="KV7" s="37" t="s">
        <v>81</v>
      </c>
      <c r="KW7" s="37" t="s">
        <v>80</v>
      </c>
      <c r="KX7" s="37" t="s">
        <v>82</v>
      </c>
      <c r="KY7" s="37" t="s">
        <v>83</v>
      </c>
      <c r="KZ7" s="37" t="s">
        <v>85</v>
      </c>
      <c r="LA7" s="37" t="s">
        <v>79</v>
      </c>
      <c r="LB7" s="37" t="s">
        <v>81</v>
      </c>
      <c r="LC7" s="37" t="s">
        <v>98</v>
      </c>
      <c r="LD7" s="37" t="s">
        <v>82</v>
      </c>
      <c r="LE7" s="37" t="s">
        <v>88</v>
      </c>
      <c r="LF7" s="286" t="s">
        <v>84</v>
      </c>
    </row>
    <row r="8" spans="1:318" s="12" customFormat="1" ht="18" customHeight="1" x14ac:dyDescent="0.3">
      <c r="A8" s="14">
        <v>1</v>
      </c>
      <c r="B8" s="54" t="s">
        <v>118</v>
      </c>
      <c r="C8" s="1">
        <v>6972</v>
      </c>
      <c r="D8" t="s">
        <v>119</v>
      </c>
      <c r="E8" s="1">
        <v>10279</v>
      </c>
      <c r="F8" s="1">
        <v>2013</v>
      </c>
      <c r="G8" t="s">
        <v>120</v>
      </c>
      <c r="H8" s="1">
        <f>SUM(J8:LF8)</f>
        <v>57</v>
      </c>
      <c r="I8" s="14">
        <f>BP9+BQ10+BS10+BT9+BU10+CA10+CB10+DD10+DH10+FU9+GC9+HL9+HM9+HN9+JF10</f>
        <v>344.79999999999995</v>
      </c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>
        <v>5</v>
      </c>
      <c r="BQ8" s="11"/>
      <c r="BR8" s="11">
        <v>8</v>
      </c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>
        <v>9</v>
      </c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>
        <v>12</v>
      </c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/>
      <c r="FH8"/>
      <c r="FI8"/>
      <c r="FJ8"/>
      <c r="FK8"/>
      <c r="FL8" s="264"/>
      <c r="FM8"/>
      <c r="FN8"/>
      <c r="FO8" s="264"/>
      <c r="FP8"/>
      <c r="FQ8"/>
      <c r="FR8" s="265">
        <v>8</v>
      </c>
      <c r="FS8"/>
      <c r="FT8"/>
      <c r="FU8"/>
      <c r="FV8"/>
      <c r="FW8"/>
      <c r="FX8"/>
      <c r="FY8"/>
      <c r="FZ8"/>
      <c r="GA8" s="265">
        <f>6+9</f>
        <v>15</v>
      </c>
      <c r="GB8"/>
      <c r="GC8"/>
      <c r="GD8" s="264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</row>
    <row r="9" spans="1:318" s="12" customFormat="1" ht="18" customHeight="1" x14ac:dyDescent="0.3">
      <c r="A9" s="14"/>
      <c r="B9" s="54"/>
      <c r="C9" s="1"/>
      <c r="D9" t="s">
        <v>121</v>
      </c>
      <c r="E9" s="1">
        <v>9871</v>
      </c>
      <c r="F9" s="1">
        <v>2012</v>
      </c>
      <c r="G9"/>
      <c r="H9" s="1">
        <f>SUM(J9:LF9)</f>
        <v>166.4</v>
      </c>
      <c r="I9" s="14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>
        <v>17</v>
      </c>
      <c r="BQ9" s="11"/>
      <c r="BR9" s="11">
        <v>7</v>
      </c>
      <c r="BS9" s="11"/>
      <c r="BT9" s="11">
        <v>16</v>
      </c>
      <c r="BU9" s="11"/>
      <c r="BV9" s="11"/>
      <c r="BW9" s="11"/>
      <c r="BX9" s="11"/>
      <c r="BY9" s="11"/>
      <c r="BZ9" s="11"/>
      <c r="CA9" s="11"/>
      <c r="CB9" s="11"/>
      <c r="CC9" s="11">
        <v>6</v>
      </c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/>
      <c r="FH9"/>
      <c r="FI9"/>
      <c r="FJ9"/>
      <c r="FK9"/>
      <c r="FL9" s="264"/>
      <c r="FM9"/>
      <c r="FN9"/>
      <c r="FO9" s="264"/>
      <c r="FP9"/>
      <c r="FQ9"/>
      <c r="FR9"/>
      <c r="FS9"/>
      <c r="FT9"/>
      <c r="FU9" s="265">
        <f>10+13</f>
        <v>23</v>
      </c>
      <c r="FV9"/>
      <c r="FW9"/>
      <c r="FX9"/>
      <c r="FY9"/>
      <c r="FZ9"/>
      <c r="GA9"/>
      <c r="GB9"/>
      <c r="GC9" s="265">
        <f>10+13</f>
        <v>23</v>
      </c>
      <c r="GD9" s="264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 s="268">
        <f>(9+11)*1.2</f>
        <v>24</v>
      </c>
      <c r="HM9" s="268">
        <f>(9+11)*1.2</f>
        <v>24</v>
      </c>
      <c r="HN9" s="268">
        <f>(9+13)*1.2</f>
        <v>26.4</v>
      </c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</row>
    <row r="10" spans="1:318" s="12" customFormat="1" ht="18" customHeight="1" x14ac:dyDescent="0.3">
      <c r="A10" s="14"/>
      <c r="B10" s="71"/>
      <c r="C10" s="1"/>
      <c r="D10" t="s">
        <v>122</v>
      </c>
      <c r="E10" s="1">
        <v>9443</v>
      </c>
      <c r="F10" s="1">
        <v>2008</v>
      </c>
      <c r="G10"/>
      <c r="H10" s="1">
        <f>SUM(J10:LF10)</f>
        <v>251.4</v>
      </c>
      <c r="I10" s="14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>
        <v>24</v>
      </c>
      <c r="BR10" s="11"/>
      <c r="BS10" s="11">
        <v>21</v>
      </c>
      <c r="BT10" s="11"/>
      <c r="BU10" s="11">
        <v>24</v>
      </c>
      <c r="BV10" s="11"/>
      <c r="BW10" s="11"/>
      <c r="BX10" s="11"/>
      <c r="BY10" s="11"/>
      <c r="BZ10" s="11"/>
      <c r="CA10" s="11">
        <v>15.6</v>
      </c>
      <c r="CB10" s="11">
        <v>27.599999999999998</v>
      </c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>
        <v>15</v>
      </c>
      <c r="CQ10" s="11"/>
      <c r="CR10" s="11"/>
      <c r="CS10" s="11"/>
      <c r="CT10" s="11"/>
      <c r="CU10" s="11"/>
      <c r="CV10" s="11"/>
      <c r="CW10" s="11"/>
      <c r="CX10" s="11">
        <v>15</v>
      </c>
      <c r="CY10" s="11"/>
      <c r="CZ10" s="11"/>
      <c r="DA10" s="11"/>
      <c r="DB10" s="4"/>
      <c r="DC10" s="4"/>
      <c r="DD10" s="4">
        <f>(10+14)*1.2</f>
        <v>28.799999999999997</v>
      </c>
      <c r="DE10" s="4"/>
      <c r="DF10" s="4"/>
      <c r="DG10" s="4"/>
      <c r="DH10" s="4">
        <f>(12+15)*1.2</f>
        <v>32.4</v>
      </c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/>
      <c r="FH10"/>
      <c r="FI10"/>
      <c r="FJ10"/>
      <c r="FK10"/>
      <c r="FL10" s="264"/>
      <c r="FM10"/>
      <c r="FN10"/>
      <c r="FO10" s="264"/>
      <c r="FP10"/>
      <c r="FQ10"/>
      <c r="FR10"/>
      <c r="FS10"/>
      <c r="FT10"/>
      <c r="FU10"/>
      <c r="FV10" s="265">
        <v>15</v>
      </c>
      <c r="FW10"/>
      <c r="FX10"/>
      <c r="FY10"/>
      <c r="FZ10"/>
      <c r="GA10"/>
      <c r="GB10"/>
      <c r="GC10"/>
      <c r="GD10" s="264">
        <v>15</v>
      </c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>
        <v>18</v>
      </c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</row>
    <row r="11" spans="1:318" s="12" customFormat="1" ht="18" customHeight="1" x14ac:dyDescent="0.25">
      <c r="A11" s="14"/>
      <c r="B11" s="71"/>
      <c r="C11" s="1"/>
      <c r="D11" t="s">
        <v>123</v>
      </c>
      <c r="E11" s="1">
        <v>11080</v>
      </c>
      <c r="F11" s="1">
        <v>2015</v>
      </c>
      <c r="G11"/>
      <c r="H11" s="1">
        <f>SUM(J11:LF11)</f>
        <v>32</v>
      </c>
      <c r="I11" s="14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>
        <v>11</v>
      </c>
      <c r="CK11" s="11"/>
      <c r="CL11" s="11">
        <v>13</v>
      </c>
      <c r="CM11" s="11"/>
      <c r="CN11" s="11"/>
      <c r="CO11" s="11"/>
      <c r="CP11" s="11"/>
      <c r="CQ11" s="11"/>
      <c r="CR11" s="11">
        <v>8</v>
      </c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</row>
    <row r="12" spans="1:318" s="12" customFormat="1" ht="18" customHeight="1" x14ac:dyDescent="0.25">
      <c r="A12" s="14"/>
      <c r="B12" s="71"/>
      <c r="C12" s="1"/>
      <c r="D12" t="s">
        <v>124</v>
      </c>
      <c r="E12" s="1">
        <v>11081</v>
      </c>
      <c r="F12" s="1">
        <v>2015</v>
      </c>
      <c r="G12"/>
      <c r="H12" s="1">
        <f>SUM(J12:LF12)</f>
        <v>24</v>
      </c>
      <c r="I12" s="14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>
        <v>8</v>
      </c>
      <c r="CK12" s="11"/>
      <c r="CL12" s="11">
        <v>10</v>
      </c>
      <c r="CM12" s="11"/>
      <c r="CN12" s="11"/>
      <c r="CO12" s="11"/>
      <c r="CP12" s="11"/>
      <c r="CQ12" s="11"/>
      <c r="CR12" s="11">
        <v>6</v>
      </c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</row>
    <row r="13" spans="1:318" ht="18" customHeight="1" x14ac:dyDescent="0.25">
      <c r="A13" s="14">
        <v>2</v>
      </c>
      <c r="B13" s="54" t="s">
        <v>125</v>
      </c>
      <c r="C13" s="1">
        <v>2965</v>
      </c>
      <c r="D13" t="s">
        <v>126</v>
      </c>
      <c r="E13" s="1">
        <v>9070</v>
      </c>
      <c r="F13" s="1">
        <v>2011</v>
      </c>
      <c r="G13" t="s">
        <v>127</v>
      </c>
      <c r="H13" s="1">
        <f>SUM(J13:LF13)</f>
        <v>505.6</v>
      </c>
      <c r="I13" s="14">
        <f>DK14+Tabuľka11[[#This Row],[Stĺpec118]]+DS14+Tabuľka11[[#This Row],[Stĺpec126]]+DX14+Tabuľka11[[#This Row],[Stĺpec141]]+Tabuľka11[[#This Row],[Stĺpec149]]+GJ14+Tabuľka11[[#This Row],[Stĺpec218]]+Tabuľka11[[#This Row],[Stĺpec209]]+Tabuľka11[[#This Row],[Stĺpec199]]+JL14+JQ14+Tabuľka11[[#This Row],[Stĺpec286]]+JX14</f>
        <v>289</v>
      </c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>
        <v>10.799999999999999</v>
      </c>
      <c r="CF13" s="11"/>
      <c r="CG13" s="11">
        <v>4.8</v>
      </c>
      <c r="CH13" s="11"/>
      <c r="CI13" s="11"/>
      <c r="CJ13" s="11"/>
      <c r="CK13" s="11"/>
      <c r="CL13" s="11"/>
      <c r="CM13" s="11"/>
      <c r="CN13" s="11"/>
      <c r="CO13" s="11">
        <v>10</v>
      </c>
      <c r="CP13" s="11"/>
      <c r="CQ13" s="11"/>
      <c r="CR13" s="11"/>
      <c r="CS13" s="11"/>
      <c r="CT13" s="11"/>
      <c r="CU13" s="11"/>
      <c r="CV13" s="11">
        <v>17</v>
      </c>
      <c r="CW13" s="11">
        <v>17</v>
      </c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4"/>
      <c r="DJ13" s="4"/>
      <c r="DK13" s="4"/>
      <c r="DL13" s="4"/>
      <c r="DM13" s="4"/>
      <c r="DN13" s="4"/>
      <c r="DO13" s="4">
        <f>7+10</f>
        <v>17</v>
      </c>
      <c r="DP13" s="4">
        <f>9+11</f>
        <v>20</v>
      </c>
      <c r="DQ13" s="4"/>
      <c r="DR13" s="4"/>
      <c r="DS13" s="4"/>
      <c r="DT13" s="4"/>
      <c r="DU13" s="4"/>
      <c r="DV13" s="4"/>
      <c r="DW13" s="4">
        <f>7+9</f>
        <v>16</v>
      </c>
      <c r="DX13" s="4">
        <f>9+13</f>
        <v>22</v>
      </c>
      <c r="DY13" s="4"/>
      <c r="DZ13" s="4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4"/>
      <c r="ER13" s="4"/>
      <c r="ES13" s="4"/>
      <c r="ET13" s="4"/>
      <c r="EU13" s="4"/>
      <c r="EV13" s="4"/>
      <c r="EW13" s="4">
        <v>5</v>
      </c>
      <c r="EX13" s="4">
        <f>8+13</f>
        <v>21</v>
      </c>
      <c r="EY13" s="4"/>
      <c r="EZ13" s="4"/>
      <c r="FA13" s="4"/>
      <c r="FB13" s="4"/>
      <c r="FC13" s="4"/>
      <c r="FD13" s="4"/>
      <c r="FE13" s="4">
        <v>8</v>
      </c>
      <c r="FF13" s="4">
        <f>9+9</f>
        <v>18</v>
      </c>
      <c r="FG13" s="4"/>
      <c r="FH13" s="4"/>
      <c r="FI13" s="4"/>
      <c r="FJ13" s="4"/>
      <c r="FK13" s="4"/>
      <c r="FL13" s="264"/>
      <c r="FM13" s="4"/>
      <c r="FN13" s="4"/>
      <c r="FO13" s="264"/>
      <c r="FP13" s="4"/>
      <c r="FQ13" s="4"/>
      <c r="FR13" s="4"/>
      <c r="FS13" s="4"/>
      <c r="FT13" s="264">
        <f t="shared" ref="FT13:FU13" si="0">6+9</f>
        <v>15</v>
      </c>
      <c r="FU13" s="264">
        <f t="shared" si="0"/>
        <v>15</v>
      </c>
      <c r="FV13" s="4"/>
      <c r="FW13" s="4"/>
      <c r="FX13" s="4"/>
      <c r="FY13" s="4"/>
      <c r="FZ13" s="4"/>
      <c r="GA13" s="4"/>
      <c r="GB13" s="264">
        <f>7+9</f>
        <v>16</v>
      </c>
      <c r="GC13" s="264">
        <f>6+8</f>
        <v>14</v>
      </c>
      <c r="GD13" s="264"/>
      <c r="GE13" s="4"/>
      <c r="GF13" s="4"/>
      <c r="GG13" s="4"/>
      <c r="GH13" s="4"/>
      <c r="GI13" s="4"/>
      <c r="GJ13" s="4"/>
      <c r="GK13" s="4">
        <f>9+9</f>
        <v>18</v>
      </c>
      <c r="GL13" s="4">
        <f>5+8</f>
        <v>13</v>
      </c>
      <c r="GM13" s="4"/>
      <c r="GN13" s="4"/>
      <c r="GO13" s="4"/>
      <c r="GP13" s="4"/>
      <c r="GQ13" s="4"/>
      <c r="GR13" s="4"/>
      <c r="GS13" s="4">
        <f>7+8</f>
        <v>15</v>
      </c>
      <c r="GT13" s="4">
        <f>7+12</f>
        <v>19</v>
      </c>
      <c r="GU13" s="4"/>
      <c r="GV13" s="4"/>
      <c r="GW13" s="4"/>
      <c r="GX13" s="4"/>
      <c r="GY13" s="4"/>
      <c r="GZ13" s="4"/>
      <c r="HA13" s="4"/>
      <c r="HB13" s="4">
        <f>9+11</f>
        <v>20</v>
      </c>
      <c r="HC13" s="4"/>
      <c r="HD13" s="4"/>
      <c r="HE13" s="4"/>
      <c r="HF13" s="4"/>
      <c r="HG13" s="4"/>
      <c r="HH13" s="4"/>
      <c r="HI13" s="4"/>
      <c r="HJ13" s="4"/>
      <c r="HK13" s="4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>
        <v>8</v>
      </c>
      <c r="IA13" s="11"/>
      <c r="IB13" s="11"/>
      <c r="IC13" s="11">
        <v>13</v>
      </c>
      <c r="ID13" s="11"/>
      <c r="IE13" s="11"/>
      <c r="IF13" s="11"/>
      <c r="IG13" s="11">
        <v>13</v>
      </c>
      <c r="IH13" s="11">
        <v>16</v>
      </c>
      <c r="II13" s="11"/>
      <c r="IJ13" s="11"/>
      <c r="IK13" s="11"/>
      <c r="IL13" s="11"/>
      <c r="IM13" s="11"/>
      <c r="IN13" s="11"/>
      <c r="IO13" s="11"/>
      <c r="IP13" s="11"/>
      <c r="IQ13" s="11">
        <v>12</v>
      </c>
      <c r="IR13" s="11">
        <v>14</v>
      </c>
      <c r="IS13" s="11"/>
      <c r="IT13" s="11"/>
      <c r="IU13" s="11">
        <v>16</v>
      </c>
      <c r="IV13" s="11"/>
      <c r="IW13" s="11"/>
      <c r="IX13" s="11">
        <v>16</v>
      </c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>
        <v>15</v>
      </c>
      <c r="JL13" s="11">
        <v>17</v>
      </c>
      <c r="JM13" s="11"/>
      <c r="JN13" s="11"/>
      <c r="JO13" s="11"/>
      <c r="JP13" s="11"/>
      <c r="JQ13" s="11">
        <v>16</v>
      </c>
      <c r="JR13" s="11"/>
      <c r="JS13" s="11"/>
      <c r="JT13" s="11"/>
      <c r="JU13" s="11"/>
      <c r="JV13" s="11"/>
      <c r="JW13" s="11"/>
      <c r="JX13" s="11">
        <v>18</v>
      </c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</row>
    <row r="14" spans="1:318" ht="18" customHeight="1" x14ac:dyDescent="0.25">
      <c r="D14" t="s">
        <v>128</v>
      </c>
      <c r="E14" s="1">
        <v>10269</v>
      </c>
      <c r="F14" s="1">
        <v>2014</v>
      </c>
      <c r="H14" s="1">
        <f>SUM(J14:LF14)</f>
        <v>500.6</v>
      </c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>
        <v>10.799999999999999</v>
      </c>
      <c r="CE14" s="11"/>
      <c r="CF14" s="11">
        <v>7.1999999999999993</v>
      </c>
      <c r="CG14" s="11"/>
      <c r="CH14" s="11"/>
      <c r="CI14" s="11"/>
      <c r="CJ14" s="11"/>
      <c r="CK14" s="11"/>
      <c r="CL14" s="11"/>
      <c r="CM14" s="11"/>
      <c r="CN14" s="11">
        <v>6</v>
      </c>
      <c r="CO14" s="11">
        <v>12</v>
      </c>
      <c r="CP14" s="11"/>
      <c r="CQ14" s="11"/>
      <c r="CR14" s="11"/>
      <c r="CS14" s="11"/>
      <c r="CT14" s="11">
        <v>17</v>
      </c>
      <c r="CU14" s="11"/>
      <c r="CV14" s="11">
        <v>13</v>
      </c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4"/>
      <c r="DJ14" s="4"/>
      <c r="DK14" s="4">
        <f>9+12</f>
        <v>21</v>
      </c>
      <c r="DL14" s="4"/>
      <c r="DM14" s="4"/>
      <c r="DN14" s="4"/>
      <c r="DO14" s="4"/>
      <c r="DP14" s="4">
        <f>7+10</f>
        <v>17</v>
      </c>
      <c r="DQ14" s="4"/>
      <c r="DR14" s="4"/>
      <c r="DS14" s="4">
        <f>8+12</f>
        <v>20</v>
      </c>
      <c r="DT14" s="4"/>
      <c r="DU14" s="4"/>
      <c r="DV14" s="4"/>
      <c r="DW14" s="4"/>
      <c r="DX14" s="4">
        <f>8+12</f>
        <v>20</v>
      </c>
      <c r="DY14" s="4"/>
      <c r="DZ14" s="4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4"/>
      <c r="ER14" s="4"/>
      <c r="ES14" s="4">
        <f>(4+8)*1.2</f>
        <v>14.399999999999999</v>
      </c>
      <c r="ET14" s="4"/>
      <c r="EU14" s="4"/>
      <c r="EV14" s="4"/>
      <c r="EW14" s="4">
        <f>6+8</f>
        <v>14</v>
      </c>
      <c r="EX14" s="4"/>
      <c r="EY14" s="4"/>
      <c r="EZ14" s="4"/>
      <c r="FA14" s="4">
        <f>(4+7)*1.2</f>
        <v>13.2</v>
      </c>
      <c r="FB14" s="4"/>
      <c r="FC14" s="4"/>
      <c r="FD14" s="4"/>
      <c r="FE14" s="4">
        <f>3+8</f>
        <v>11</v>
      </c>
      <c r="FF14" s="4"/>
      <c r="FG14" s="4"/>
      <c r="FH14" s="4"/>
      <c r="FI14" s="4"/>
      <c r="FJ14" s="4"/>
      <c r="FK14" s="4"/>
      <c r="FL14" s="264"/>
      <c r="FM14" s="4"/>
      <c r="FN14" s="4"/>
      <c r="FO14" s="264"/>
      <c r="FP14" s="4"/>
      <c r="FQ14" s="4"/>
      <c r="FR14" s="4"/>
      <c r="FS14" s="4"/>
      <c r="FT14" s="264">
        <f>7+10</f>
        <v>17</v>
      </c>
      <c r="FU14" s="264">
        <f>5+8</f>
        <v>13</v>
      </c>
      <c r="FV14" s="4"/>
      <c r="FW14" s="4"/>
      <c r="FX14" s="4"/>
      <c r="FY14" s="4"/>
      <c r="FZ14" s="264">
        <v>12</v>
      </c>
      <c r="GA14" s="4"/>
      <c r="GB14" s="4"/>
      <c r="GC14" s="264">
        <f>7+8</f>
        <v>15</v>
      </c>
      <c r="GD14" s="264"/>
      <c r="GE14" s="4"/>
      <c r="GF14" s="4"/>
      <c r="GG14" s="4"/>
      <c r="GH14" s="4"/>
      <c r="GI14" s="4"/>
      <c r="GJ14" s="4">
        <f>8+12</f>
        <v>20</v>
      </c>
      <c r="GK14" s="4"/>
      <c r="GL14" s="4">
        <f>4+7</f>
        <v>11</v>
      </c>
      <c r="GM14" s="4"/>
      <c r="GN14" s="4"/>
      <c r="GO14" s="4"/>
      <c r="GP14" s="4"/>
      <c r="GQ14" s="4"/>
      <c r="GR14" s="4"/>
      <c r="GS14" s="4">
        <f>5+6</f>
        <v>11</v>
      </c>
      <c r="GT14" s="4">
        <f>6+11</f>
        <v>17</v>
      </c>
      <c r="GU14" s="4"/>
      <c r="GV14" s="4"/>
      <c r="GW14" s="4"/>
      <c r="GX14" s="4"/>
      <c r="GY14" s="4"/>
      <c r="GZ14" s="4"/>
      <c r="HA14" s="4"/>
      <c r="HB14" s="4">
        <f>7+9</f>
        <v>16</v>
      </c>
      <c r="HC14" s="4"/>
      <c r="HD14" s="4"/>
      <c r="HE14" s="4"/>
      <c r="HF14" s="4"/>
      <c r="HG14" s="4"/>
      <c r="HH14" s="4"/>
      <c r="HI14" s="4"/>
      <c r="HJ14" s="4"/>
      <c r="HK14" s="4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>
        <v>16</v>
      </c>
      <c r="IA14" s="11"/>
      <c r="IB14" s="11"/>
      <c r="IC14" s="11"/>
      <c r="ID14" s="11"/>
      <c r="IE14" s="11">
        <v>12</v>
      </c>
      <c r="IF14" s="11"/>
      <c r="IG14" s="11"/>
      <c r="IH14" s="11">
        <v>17</v>
      </c>
      <c r="II14" s="11">
        <v>12</v>
      </c>
      <c r="IJ14" s="11"/>
      <c r="IK14" s="11"/>
      <c r="IL14" s="11"/>
      <c r="IM14" s="11"/>
      <c r="IN14" s="11"/>
      <c r="IO14" s="11"/>
      <c r="IP14" s="11"/>
      <c r="IQ14" s="11">
        <v>11</v>
      </c>
      <c r="IR14" s="11">
        <v>15</v>
      </c>
      <c r="IS14" s="11"/>
      <c r="IT14" s="11"/>
      <c r="IU14" s="11">
        <v>8</v>
      </c>
      <c r="IV14" s="11"/>
      <c r="IW14" s="11"/>
      <c r="IX14" s="11">
        <v>12</v>
      </c>
      <c r="IY14" s="11"/>
      <c r="IZ14" s="11"/>
      <c r="JA14" s="11"/>
      <c r="JB14" s="11"/>
      <c r="JC14" s="11"/>
      <c r="JD14" s="11"/>
      <c r="JE14" s="11"/>
      <c r="JF14" s="11"/>
      <c r="JG14" s="11"/>
      <c r="JH14" s="11"/>
      <c r="JI14" s="11"/>
      <c r="JJ14" s="11"/>
      <c r="JK14" s="11">
        <v>17</v>
      </c>
      <c r="JL14" s="11">
        <v>18</v>
      </c>
      <c r="JM14" s="11"/>
      <c r="JN14" s="11"/>
      <c r="JO14" s="11"/>
      <c r="JP14" s="11"/>
      <c r="JQ14" s="11">
        <v>17</v>
      </c>
      <c r="JR14" s="11"/>
      <c r="JS14" s="11"/>
      <c r="JT14" s="11"/>
      <c r="JU14" s="11"/>
      <c r="JV14" s="11"/>
      <c r="JW14" s="11"/>
      <c r="JX14" s="11">
        <v>17</v>
      </c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/>
    </row>
    <row r="15" spans="1:318" ht="18" customHeight="1" x14ac:dyDescent="0.25">
      <c r="A15" s="14">
        <v>3</v>
      </c>
      <c r="B15" s="54" t="s">
        <v>129</v>
      </c>
      <c r="C15" s="1">
        <v>338</v>
      </c>
      <c r="D15" t="s">
        <v>130</v>
      </c>
      <c r="E15" s="1">
        <v>9453</v>
      </c>
      <c r="F15" s="1">
        <v>2012</v>
      </c>
      <c r="G15" t="s">
        <v>127</v>
      </c>
      <c r="H15" s="1">
        <f>SUM(J15:LF15)</f>
        <v>501.4</v>
      </c>
      <c r="I15" s="14">
        <f>Tabuľka11[[#This Row],[Stĺpec94]]+Tabuľka11[[#This Row],[Stĺpec90]]+Tabuľka11[[#This Row],[Stĺpec99]]+Tabuľka11[[#This Row],[Stĺpec117]]+Tabuľka11[[#This Row],[Stĺpec118]]+Tabuľka11[[#This Row],[Stĺpec125]]+Tabuľka11[[#This Row],[Stĺpec126]]+Tabuľka11[[#This Row],[Stĺpec141]]+Tabuľka11[[#This Row],[Stĺpec149]]+Tabuľka11[[#This Row],[Stĺpec163]]+Tabuľka11[[#This Row],[Stĺpec171]]+Tabuľka11[[#This Row],[Stĺpec209]]+Tabuľka11[[#This Row],[Stĺpec199]]+Tabuľka11[[#This Row],[Stĺpec252]]+Tabuľka11[[#This Row],[Stĺpec246]]</f>
        <v>288.2</v>
      </c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>
        <v>15.6</v>
      </c>
      <c r="CF15" s="11"/>
      <c r="CG15" s="11">
        <v>9.6</v>
      </c>
      <c r="CH15" s="11">
        <v>19.2</v>
      </c>
      <c r="CI15" s="11"/>
      <c r="CJ15" s="11"/>
      <c r="CK15" s="11"/>
      <c r="CL15" s="11"/>
      <c r="CM15" s="11"/>
      <c r="CN15" s="11"/>
      <c r="CO15" s="11">
        <v>18</v>
      </c>
      <c r="CP15" s="11"/>
      <c r="CQ15" s="11"/>
      <c r="CR15" s="11"/>
      <c r="CS15" s="11"/>
      <c r="CT15" s="11"/>
      <c r="CU15" s="11"/>
      <c r="CV15" s="11">
        <v>16</v>
      </c>
      <c r="CW15" s="11">
        <v>21</v>
      </c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4"/>
      <c r="DJ15" s="4"/>
      <c r="DK15" s="4"/>
      <c r="DL15" s="4"/>
      <c r="DM15" s="4"/>
      <c r="DN15" s="4"/>
      <c r="DO15" s="4">
        <f>8+10</f>
        <v>18</v>
      </c>
      <c r="DP15" s="4">
        <f>10+11</f>
        <v>21</v>
      </c>
      <c r="DQ15" s="4"/>
      <c r="DR15" s="4"/>
      <c r="DS15" s="4"/>
      <c r="DT15" s="4"/>
      <c r="DU15" s="4"/>
      <c r="DV15" s="4"/>
      <c r="DW15" s="4">
        <f>8+11</f>
        <v>19</v>
      </c>
      <c r="DX15" s="4">
        <f>10+13</f>
        <v>23</v>
      </c>
      <c r="DY15" s="4"/>
      <c r="DZ15" s="4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4"/>
      <c r="ER15" s="4"/>
      <c r="ES15" s="4"/>
      <c r="ET15" s="4"/>
      <c r="EU15" s="4"/>
      <c r="EV15" s="4"/>
      <c r="EW15" s="4">
        <f>4+7</f>
        <v>11</v>
      </c>
      <c r="EX15" s="4">
        <f>7+12</f>
        <v>19</v>
      </c>
      <c r="EY15" s="4"/>
      <c r="EZ15" s="4"/>
      <c r="FA15" s="4"/>
      <c r="FB15" s="4"/>
      <c r="FC15" s="4"/>
      <c r="FD15" s="4"/>
      <c r="FE15" s="4">
        <f>6+8</f>
        <v>14</v>
      </c>
      <c r="FF15" s="4">
        <f>8+9</f>
        <v>17</v>
      </c>
      <c r="FG15" s="4"/>
      <c r="FH15" s="4"/>
      <c r="FI15" s="4"/>
      <c r="FJ15" s="4"/>
      <c r="FK15" s="4"/>
      <c r="FL15" s="264"/>
      <c r="FM15" s="4"/>
      <c r="FN15" s="4"/>
      <c r="FO15" s="264"/>
      <c r="FP15" s="4"/>
      <c r="FQ15" s="4"/>
      <c r="FR15" s="4"/>
      <c r="FS15" s="4" t="s">
        <v>1</v>
      </c>
      <c r="FT15" s="264">
        <f>8+10</f>
        <v>18</v>
      </c>
      <c r="FU15" s="264">
        <f>7+9</f>
        <v>16</v>
      </c>
      <c r="FV15" s="4"/>
      <c r="FW15" s="4"/>
      <c r="FX15" s="4"/>
      <c r="FY15" s="4"/>
      <c r="FZ15" s="4"/>
      <c r="GA15" s="4"/>
      <c r="GB15" s="264">
        <f>8+9</f>
        <v>17</v>
      </c>
      <c r="GC15" s="264">
        <f>5+8</f>
        <v>13</v>
      </c>
      <c r="GD15" s="264"/>
      <c r="GE15" s="4"/>
      <c r="GF15" s="4"/>
      <c r="GG15" s="4"/>
      <c r="GH15" s="4"/>
      <c r="GI15" s="4"/>
      <c r="GJ15" s="4"/>
      <c r="GK15" s="4">
        <f>7+8</f>
        <v>15</v>
      </c>
      <c r="GL15" s="4">
        <f>6+8</f>
        <v>14</v>
      </c>
      <c r="GM15" s="4"/>
      <c r="GN15" s="4"/>
      <c r="GO15" s="4"/>
      <c r="GP15" s="4"/>
      <c r="GQ15" s="4"/>
      <c r="GR15" s="4"/>
      <c r="GS15" s="4">
        <f>7+8</f>
        <v>15</v>
      </c>
      <c r="GT15" s="4">
        <f>9+13</f>
        <v>22</v>
      </c>
      <c r="GU15" s="4"/>
      <c r="GV15" s="4"/>
      <c r="GW15" s="4"/>
      <c r="GX15" s="4"/>
      <c r="GY15" s="4"/>
      <c r="GZ15" s="4"/>
      <c r="HA15" s="4"/>
      <c r="HB15" s="4">
        <f>8+10</f>
        <v>18</v>
      </c>
      <c r="HC15" s="4"/>
      <c r="HD15" s="4"/>
      <c r="HE15" s="4"/>
      <c r="HF15" s="4"/>
      <c r="HG15" s="4"/>
      <c r="HH15" s="4"/>
      <c r="HI15" s="4"/>
      <c r="HJ15" s="4"/>
      <c r="HK15" s="4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>
        <v>13</v>
      </c>
      <c r="IA15" s="11"/>
      <c r="IB15" s="11"/>
      <c r="IC15" s="11">
        <v>12</v>
      </c>
      <c r="ID15" s="11"/>
      <c r="IE15" s="11"/>
      <c r="IF15" s="11"/>
      <c r="IG15" s="11">
        <v>8</v>
      </c>
      <c r="IH15" s="11">
        <v>13</v>
      </c>
      <c r="II15" s="11"/>
      <c r="IJ15" s="11"/>
      <c r="IK15" s="11"/>
      <c r="IL15" s="11"/>
      <c r="IM15" s="11"/>
      <c r="IN15" s="11"/>
      <c r="IO15" s="11"/>
      <c r="IP15" s="11"/>
      <c r="IQ15" s="11">
        <v>15</v>
      </c>
      <c r="IR15" s="11">
        <v>20</v>
      </c>
      <c r="IS15" s="11"/>
      <c r="IT15" s="11"/>
      <c r="IU15" s="11">
        <v>13</v>
      </c>
      <c r="IV15" s="11"/>
      <c r="IW15" s="11"/>
      <c r="IX15" s="11">
        <v>18</v>
      </c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/>
      <c r="JQ15" s="11"/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/>
    </row>
    <row r="16" spans="1:318" ht="18" customHeight="1" x14ac:dyDescent="0.25">
      <c r="B16" s="71"/>
      <c r="D16" t="s">
        <v>131</v>
      </c>
      <c r="E16" s="1">
        <v>11295</v>
      </c>
      <c r="F16" s="1">
        <v>2017</v>
      </c>
      <c r="H16" s="1">
        <f>SUM(J16:LF16)</f>
        <v>112.4</v>
      </c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4">
        <f>3+8</f>
        <v>11</v>
      </c>
      <c r="DJ16" s="4"/>
      <c r="DK16" s="4"/>
      <c r="DL16" s="4"/>
      <c r="DM16" s="4"/>
      <c r="DN16" s="4"/>
      <c r="DO16" s="4"/>
      <c r="DP16" s="4"/>
      <c r="DQ16" s="4">
        <f>3+8</f>
        <v>11</v>
      </c>
      <c r="DR16" s="4"/>
      <c r="DS16" s="4"/>
      <c r="DT16" s="4"/>
      <c r="DU16" s="4"/>
      <c r="DV16" s="4"/>
      <c r="DW16" s="4"/>
      <c r="DX16" s="4"/>
      <c r="DY16" s="4"/>
      <c r="DZ16" s="4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4">
        <f>(3+8)*1.2</f>
        <v>13.2</v>
      </c>
      <c r="ER16" s="4"/>
      <c r="ES16" s="4"/>
      <c r="ET16" s="4"/>
      <c r="EU16" s="4"/>
      <c r="EV16" s="4"/>
      <c r="EW16" s="4"/>
      <c r="EX16" s="4"/>
      <c r="EY16" s="4">
        <f>(3+8)*1.2</f>
        <v>13.2</v>
      </c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264"/>
      <c r="FM16" s="4"/>
      <c r="FN16" s="4"/>
      <c r="FO16" s="26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264"/>
      <c r="GE16" s="4">
        <f>3+6</f>
        <v>9</v>
      </c>
      <c r="GF16" s="4"/>
      <c r="GG16" s="4"/>
      <c r="GH16" s="4"/>
      <c r="GI16" s="4"/>
      <c r="GJ16" s="4"/>
      <c r="GK16" s="4"/>
      <c r="GL16" s="4"/>
      <c r="GM16" s="4">
        <f>3+6</f>
        <v>9</v>
      </c>
      <c r="GN16" s="4"/>
      <c r="GO16" s="4"/>
      <c r="GP16" s="4"/>
      <c r="GQ16" s="4"/>
      <c r="GR16" s="4"/>
      <c r="GS16" s="4"/>
      <c r="GT16" s="4"/>
      <c r="GU16" s="4"/>
      <c r="GV16" s="4">
        <f>3+6</f>
        <v>9</v>
      </c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>
        <v>5</v>
      </c>
      <c r="IN16" s="11"/>
      <c r="IO16" s="11"/>
      <c r="IP16" s="11"/>
      <c r="IQ16" s="11"/>
      <c r="IR16" s="11"/>
      <c r="IS16" s="11">
        <v>4</v>
      </c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268">
        <f>3+8</f>
        <v>11</v>
      </c>
      <c r="JH16" s="268">
        <f>3+4</f>
        <v>7</v>
      </c>
      <c r="JI16" s="268"/>
      <c r="JJ16" s="268"/>
      <c r="JK16" s="268"/>
      <c r="JL16" s="268"/>
      <c r="JM16" s="268">
        <f>3+7</f>
        <v>10</v>
      </c>
      <c r="JN16" s="268"/>
      <c r="JO16" s="268"/>
      <c r="JP16" s="268"/>
      <c r="JQ16" s="268"/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/>
    </row>
    <row r="17" spans="1:318" ht="18" customHeight="1" x14ac:dyDescent="0.25">
      <c r="B17" s="71"/>
      <c r="D17" t="s">
        <v>132</v>
      </c>
      <c r="E17" s="1">
        <v>11296</v>
      </c>
      <c r="F17" s="1">
        <v>2017</v>
      </c>
      <c r="H17" s="1">
        <f>SUM(J17:LF17)</f>
        <v>38.599999999999994</v>
      </c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4">
        <v>4</v>
      </c>
      <c r="DJ17" s="4"/>
      <c r="DK17" s="4"/>
      <c r="DL17" s="4"/>
      <c r="DM17" s="4"/>
      <c r="DN17" s="4"/>
      <c r="DO17" s="4"/>
      <c r="DP17" s="4"/>
      <c r="DQ17" s="4">
        <v>4</v>
      </c>
      <c r="DR17" s="4"/>
      <c r="DS17" s="4"/>
      <c r="DT17" s="4"/>
      <c r="DU17" s="4"/>
      <c r="DV17" s="4"/>
      <c r="DW17" s="4"/>
      <c r="DX17" s="4"/>
      <c r="DY17" s="4"/>
      <c r="DZ17" s="4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4">
        <f>(2+7)*1.2</f>
        <v>10.799999999999999</v>
      </c>
      <c r="ER17" s="4"/>
      <c r="ES17" s="4"/>
      <c r="ET17" s="4"/>
      <c r="EU17" s="4"/>
      <c r="EV17" s="4"/>
      <c r="EW17" s="4"/>
      <c r="EX17" s="4"/>
      <c r="EY17" s="4">
        <f>(0+4)*1.2</f>
        <v>4.8</v>
      </c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264"/>
      <c r="FM17" s="4"/>
      <c r="FN17" s="4"/>
      <c r="FO17" s="26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264"/>
      <c r="GE17" s="4">
        <f>1+4</f>
        <v>5</v>
      </c>
      <c r="GF17" s="4"/>
      <c r="GG17" s="4"/>
      <c r="GH17" s="4"/>
      <c r="GI17" s="4"/>
      <c r="GJ17" s="4"/>
      <c r="GK17" s="4"/>
      <c r="GL17" s="4"/>
      <c r="GM17" s="4">
        <f>1+4</f>
        <v>5</v>
      </c>
      <c r="GN17" s="4"/>
      <c r="GO17" s="4"/>
      <c r="GP17" s="4"/>
      <c r="GQ17" s="4"/>
      <c r="GR17" s="4"/>
      <c r="GS17" s="4"/>
      <c r="GT17" s="4"/>
      <c r="GU17" s="4"/>
      <c r="GV17" s="4">
        <f>1+4</f>
        <v>5</v>
      </c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/>
      <c r="JQ17" s="11"/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/>
    </row>
    <row r="18" spans="1:318" s="12" customFormat="1" ht="18" customHeight="1" x14ac:dyDescent="0.25">
      <c r="A18" s="14"/>
      <c r="B18" s="54"/>
      <c r="C18" s="1"/>
      <c r="D18" t="s">
        <v>133</v>
      </c>
      <c r="E18" s="1">
        <v>11524</v>
      </c>
      <c r="F18" s="1">
        <v>2015</v>
      </c>
      <c r="G18"/>
      <c r="H18" s="1">
        <f>SUM(J18:LF18)</f>
        <v>35</v>
      </c>
      <c r="I18" s="14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4">
        <v>3</v>
      </c>
      <c r="DJ18" s="4"/>
      <c r="DK18" s="4"/>
      <c r="DL18" s="4"/>
      <c r="DM18" s="4"/>
      <c r="DN18" s="4"/>
      <c r="DO18" s="4"/>
      <c r="DP18" s="4"/>
      <c r="DQ18" s="4">
        <v>0</v>
      </c>
      <c r="DR18" s="4"/>
      <c r="DS18" s="4"/>
      <c r="DT18" s="4"/>
      <c r="DU18" s="4"/>
      <c r="DV18" s="4"/>
      <c r="DW18" s="4"/>
      <c r="DX18" s="4"/>
      <c r="DY18" s="4"/>
      <c r="DZ18" s="4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4">
        <f>2+5</f>
        <v>7</v>
      </c>
      <c r="ER18" s="4"/>
      <c r="ES18" s="4"/>
      <c r="ET18" s="4"/>
      <c r="EU18" s="4"/>
      <c r="EV18" s="4"/>
      <c r="EW18" s="4"/>
      <c r="EX18" s="4"/>
      <c r="EY18" s="4">
        <f>3+5</f>
        <v>8</v>
      </c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264"/>
      <c r="FM18" s="4"/>
      <c r="FN18" s="4"/>
      <c r="FO18" s="26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264"/>
      <c r="GE18" s="4">
        <f>3+2</f>
        <v>5</v>
      </c>
      <c r="GF18" s="4"/>
      <c r="GG18" s="4"/>
      <c r="GH18" s="4"/>
      <c r="GI18" s="4"/>
      <c r="GJ18" s="4"/>
      <c r="GK18" s="4"/>
      <c r="GL18" s="4"/>
      <c r="GM18" s="4">
        <f>3+4</f>
        <v>7</v>
      </c>
      <c r="GN18" s="4"/>
      <c r="GO18" s="4"/>
      <c r="GP18" s="4"/>
      <c r="GQ18" s="4"/>
      <c r="GR18" s="4"/>
      <c r="GS18" s="4"/>
      <c r="GT18" s="4"/>
      <c r="GU18" s="4"/>
      <c r="GV18" s="4">
        <f>2+3</f>
        <v>5</v>
      </c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/>
      <c r="JQ18" s="11"/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/>
    </row>
    <row r="19" spans="1:318" s="12" customFormat="1" ht="18" customHeight="1" x14ac:dyDescent="0.25">
      <c r="A19" s="14">
        <v>4</v>
      </c>
      <c r="B19" s="54" t="s">
        <v>134</v>
      </c>
      <c r="C19" s="1" t="s">
        <v>135</v>
      </c>
      <c r="D19" t="s">
        <v>136</v>
      </c>
      <c r="E19" s="1">
        <v>11347</v>
      </c>
      <c r="F19" s="1">
        <v>2017</v>
      </c>
      <c r="G19" t="s">
        <v>137</v>
      </c>
      <c r="H19" s="1">
        <f>SUM(J19:LF19)</f>
        <v>32</v>
      </c>
      <c r="I19" s="14">
        <f>Tabuľka11[[#This Row],[Stĺpec26]]+AB20+Tabuľka11[[#This Row],[Stĺpec51]]+AZ21+BC20+Tabuľka11[[#This Row],[Stĺpec58]]+BH20+BI20+CO20+CW20+JA20+JB20+JC20+JR20+JX20</f>
        <v>230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>
        <v>8</v>
      </c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>
        <v>8</v>
      </c>
      <c r="AY19" s="1"/>
      <c r="AZ19" s="1"/>
      <c r="BA19" s="1"/>
      <c r="BB19" s="1"/>
      <c r="BC19" s="1"/>
      <c r="BD19" s="1"/>
      <c r="BE19" s="1">
        <v>8</v>
      </c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>
        <v>4</v>
      </c>
      <c r="CK19" s="1"/>
      <c r="CL19" s="1"/>
      <c r="CM19" s="1"/>
      <c r="CN19" s="1"/>
      <c r="CO19" s="1"/>
      <c r="CP19" s="1"/>
      <c r="CQ19" s="1">
        <v>4</v>
      </c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</row>
    <row r="20" spans="1:318" s="12" customFormat="1" ht="18" customHeight="1" x14ac:dyDescent="0.25">
      <c r="A20" s="14"/>
      <c r="B20" s="71"/>
      <c r="C20" s="1"/>
      <c r="D20" t="s">
        <v>138</v>
      </c>
      <c r="E20" s="1">
        <v>11346</v>
      </c>
      <c r="F20" s="1"/>
      <c r="G20"/>
      <c r="H20" s="1">
        <f>SUM(J20:LF20)</f>
        <v>201</v>
      </c>
      <c r="I20" s="14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>
        <v>12</v>
      </c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>
        <v>21</v>
      </c>
      <c r="BD20" s="1"/>
      <c r="BE20" s="1"/>
      <c r="BF20" s="1"/>
      <c r="BG20" s="1"/>
      <c r="BH20" s="1">
        <v>20</v>
      </c>
      <c r="BI20" s="1">
        <v>21</v>
      </c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>
        <v>16</v>
      </c>
      <c r="CP20" s="1"/>
      <c r="CQ20" s="1"/>
      <c r="CR20" s="1"/>
      <c r="CS20" s="1"/>
      <c r="CT20" s="1"/>
      <c r="CU20" s="1"/>
      <c r="CV20" s="1"/>
      <c r="CW20" s="1">
        <v>20</v>
      </c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>
        <v>18</v>
      </c>
      <c r="JB20" s="1">
        <v>21</v>
      </c>
      <c r="JC20" s="1">
        <v>23</v>
      </c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>
        <v>10</v>
      </c>
      <c r="JS20" s="1"/>
      <c r="JT20" s="1"/>
      <c r="JU20" s="1"/>
      <c r="JV20" s="1"/>
      <c r="JW20" s="1"/>
      <c r="JX20" s="1">
        <v>19</v>
      </c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</row>
    <row r="21" spans="1:318" s="12" customFormat="1" ht="21" customHeight="1" x14ac:dyDescent="0.25">
      <c r="A21" s="14"/>
      <c r="B21" s="71"/>
      <c r="C21" s="1"/>
      <c r="D21" s="105" t="s">
        <v>139</v>
      </c>
      <c r="E21" s="1">
        <v>10194</v>
      </c>
      <c r="F21" s="1">
        <v>2014</v>
      </c>
      <c r="G21"/>
      <c r="H21" s="1">
        <f>SUM(J21:LF21)</f>
        <v>5</v>
      </c>
      <c r="I21" s="14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>
        <v>5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</row>
    <row r="22" spans="1:318" s="12" customFormat="1" ht="18" customHeight="1" x14ac:dyDescent="0.25">
      <c r="A22" s="14">
        <v>5</v>
      </c>
      <c r="B22" s="54" t="s">
        <v>140</v>
      </c>
      <c r="C22" s="1">
        <v>8558</v>
      </c>
      <c r="D22" t="s">
        <v>141</v>
      </c>
      <c r="E22" s="1">
        <v>10805</v>
      </c>
      <c r="F22" s="1">
        <v>2011</v>
      </c>
      <c r="G22" t="s">
        <v>142</v>
      </c>
      <c r="H22" s="1">
        <f>SUM(J22:LF22)</f>
        <v>160.60000000000002</v>
      </c>
      <c r="I22" s="14">
        <f>SUM(H22:H23)</f>
        <v>204.20000000000002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>
        <v>19</v>
      </c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>
        <v>13.2</v>
      </c>
      <c r="CF22" s="1"/>
      <c r="CG22" s="1">
        <v>19.2</v>
      </c>
      <c r="CH22" s="1">
        <v>25.2</v>
      </c>
      <c r="CI22" s="1"/>
      <c r="CJ22" s="1"/>
      <c r="CK22" s="1"/>
      <c r="CL22" s="11" t="s">
        <v>1</v>
      </c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>
        <f>(0+5)*1.2</f>
        <v>6</v>
      </c>
      <c r="DC22"/>
      <c r="DD22"/>
      <c r="DE22"/>
      <c r="DF22">
        <v>0</v>
      </c>
      <c r="DG22"/>
      <c r="DH22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/>
      <c r="ER22"/>
      <c r="ES22"/>
      <c r="ET22"/>
      <c r="EU22"/>
      <c r="EV22"/>
      <c r="EW22"/>
      <c r="EX22">
        <f>10+13</f>
        <v>23</v>
      </c>
      <c r="EY22"/>
      <c r="EZ22"/>
      <c r="FA22"/>
      <c r="FB22"/>
      <c r="FC22"/>
      <c r="FD22"/>
      <c r="FE22"/>
      <c r="FF22"/>
      <c r="FG22"/>
      <c r="FH22"/>
      <c r="FI22"/>
      <c r="FJ22"/>
      <c r="FK22"/>
      <c r="FL22" s="264"/>
      <c r="FM22"/>
      <c r="FN22"/>
      <c r="FO22" s="264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 s="264"/>
      <c r="GE22"/>
      <c r="GF22"/>
      <c r="GG22"/>
      <c r="GH22"/>
      <c r="GI22"/>
      <c r="GJ22"/>
      <c r="GK22"/>
      <c r="GL22">
        <f>9+10</f>
        <v>19</v>
      </c>
      <c r="GM22"/>
      <c r="GN22"/>
      <c r="GO22"/>
      <c r="GP22"/>
      <c r="GQ22"/>
      <c r="GR22"/>
      <c r="GS22"/>
      <c r="GT22">
        <f>10+13</f>
        <v>23</v>
      </c>
      <c r="GU22"/>
      <c r="GV22"/>
      <c r="GW22"/>
      <c r="GX22"/>
      <c r="GY22"/>
      <c r="GZ22"/>
      <c r="HA22"/>
      <c r="HB22">
        <f>10+3</f>
        <v>13</v>
      </c>
      <c r="HC22"/>
      <c r="HD22"/>
      <c r="HE22"/>
      <c r="HF22"/>
      <c r="HG22"/>
      <c r="HH22"/>
      <c r="HI22"/>
      <c r="HJ22"/>
      <c r="HK22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</row>
    <row r="23" spans="1:318" s="12" customFormat="1" ht="18" customHeight="1" x14ac:dyDescent="0.25">
      <c r="A23" s="14"/>
      <c r="B23" s="71"/>
      <c r="C23" s="1"/>
      <c r="D23" t="s">
        <v>143</v>
      </c>
      <c r="E23" s="1">
        <v>10572</v>
      </c>
      <c r="F23" s="1">
        <v>2014</v>
      </c>
      <c r="G23"/>
      <c r="H23" s="1">
        <f>SUM(J23:LF23)</f>
        <v>43.6</v>
      </c>
      <c r="I23" s="14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>
        <v>10</v>
      </c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/>
      <c r="ER23"/>
      <c r="ES23">
        <f>(5+9)*1.2</f>
        <v>16.8</v>
      </c>
      <c r="ET23"/>
      <c r="EU23"/>
      <c r="EV23"/>
      <c r="EW23"/>
      <c r="EX23"/>
      <c r="EY23"/>
      <c r="EZ23"/>
      <c r="FA23">
        <f>(5+9)*1.2</f>
        <v>16.8</v>
      </c>
      <c r="FB23"/>
      <c r="FC23"/>
      <c r="FD23"/>
      <c r="FE23"/>
      <c r="FF23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</row>
    <row r="24" spans="1:318" s="12" customFormat="1" ht="18" customHeight="1" x14ac:dyDescent="0.25">
      <c r="A24" s="14">
        <v>6</v>
      </c>
      <c r="B24" s="54" t="s">
        <v>144</v>
      </c>
      <c r="C24" s="1">
        <v>7279</v>
      </c>
      <c r="D24" t="s">
        <v>145</v>
      </c>
      <c r="E24" s="1">
        <v>10202</v>
      </c>
      <c r="F24" s="1">
        <v>2014</v>
      </c>
      <c r="G24" t="s">
        <v>146</v>
      </c>
      <c r="H24" s="1">
        <f>SUM(J24:LF24)</f>
        <v>212.6</v>
      </c>
      <c r="I24" s="14">
        <f>Tabuľka11[[#This Row],[Stĺpec60]]+Tabuľka11[[#This Row],[Stĺpec62]]+Tabuľka11[[#This Row],[Stĺpec96]]+Tabuľka11[[#This Row],[Stĺpec98]]+Tabuľka11[[#This Row],[Stĺpec113]]+Tabuľka11[[#This Row],[Stĺpec117]]+Tabuľka11[[#This Row],[Stĺpec121]]+Tabuľka11[[#This Row],[Stĺpec125]]+Tabuľka11[[#This Row],[Stĺpec191]]+Tabuľka11[[#This Row],[Stĺpec144]]+Tabuľka11[[#This Row],[Stĺpec148]]+Tabuľka11[[#This Row],[Stĺpec219]]+Tabuľka11[[#This Row],[Stĺpec218]]+Tabuľka11[[#This Row],[Stĺpec203]]+Tabuľka11[[#This Row],[Stĺpec202]]</f>
        <v>190.6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>
        <v>9</v>
      </c>
      <c r="BH24" s="1"/>
      <c r="BI24" s="1">
        <v>12</v>
      </c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>
        <v>4</v>
      </c>
      <c r="CO24" s="1">
        <v>3</v>
      </c>
      <c r="CP24" s="1"/>
      <c r="CQ24" s="1"/>
      <c r="CR24" s="1"/>
      <c r="CS24" s="1"/>
      <c r="CT24" s="1">
        <v>15</v>
      </c>
      <c r="CU24" s="1"/>
      <c r="CV24" s="1">
        <v>7</v>
      </c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/>
      <c r="DJ24"/>
      <c r="DK24">
        <f>7+9</f>
        <v>16</v>
      </c>
      <c r="DL24"/>
      <c r="DM24"/>
      <c r="DN24"/>
      <c r="DO24">
        <f>6+7</f>
        <v>13</v>
      </c>
      <c r="DP24"/>
      <c r="DQ24"/>
      <c r="DR24"/>
      <c r="DS24">
        <f>7+9</f>
        <v>16</v>
      </c>
      <c r="DT24"/>
      <c r="DU24"/>
      <c r="DV24"/>
      <c r="DW24">
        <f>3+4</f>
        <v>7</v>
      </c>
      <c r="DX24"/>
      <c r="DY24"/>
      <c r="DZ24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/>
      <c r="ER24"/>
      <c r="ES24">
        <f>(3+7)*1.2</f>
        <v>12</v>
      </c>
      <c r="ET24"/>
      <c r="EU24"/>
      <c r="EV24"/>
      <c r="EW24">
        <v>4</v>
      </c>
      <c r="EX24"/>
      <c r="EY24"/>
      <c r="EZ24"/>
      <c r="FA24">
        <f>(3+5)*1.2</f>
        <v>9.6</v>
      </c>
      <c r="FB24"/>
      <c r="FC24"/>
      <c r="FD24"/>
      <c r="FE24">
        <f>7+9</f>
        <v>16</v>
      </c>
      <c r="FF24"/>
      <c r="FG24"/>
      <c r="FH24"/>
      <c r="FI24"/>
      <c r="FJ24"/>
      <c r="FK24"/>
      <c r="FL24" s="266"/>
      <c r="FM24"/>
      <c r="FN24"/>
      <c r="FO24" s="266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 s="266"/>
      <c r="GE24"/>
      <c r="GF24"/>
      <c r="GG24"/>
      <c r="GH24"/>
      <c r="GI24"/>
      <c r="GJ24">
        <f>7+11</f>
        <v>18</v>
      </c>
      <c r="GK24">
        <f>8+9</f>
        <v>17</v>
      </c>
      <c r="GL24"/>
      <c r="GM24"/>
      <c r="GN24"/>
      <c r="GO24"/>
      <c r="GP24"/>
      <c r="GQ24"/>
      <c r="GR24"/>
      <c r="GS24">
        <v>5</v>
      </c>
      <c r="GT24"/>
      <c r="GU24"/>
      <c r="GV24"/>
      <c r="GW24"/>
      <c r="GX24"/>
      <c r="GY24"/>
      <c r="GZ24">
        <f>4+7</f>
        <v>11</v>
      </c>
      <c r="HA24">
        <f>6+6</f>
        <v>12</v>
      </c>
      <c r="HB24"/>
      <c r="HC24"/>
      <c r="HD24"/>
      <c r="HE24"/>
      <c r="HF24"/>
      <c r="HG24"/>
      <c r="HH24"/>
      <c r="HI24"/>
      <c r="HJ24"/>
      <c r="HK24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268"/>
      <c r="JT24" s="268"/>
      <c r="JU24" s="268"/>
      <c r="JV24" s="268"/>
      <c r="JW24" s="268">
        <f>1+5</f>
        <v>6</v>
      </c>
      <c r="JX24" s="268">
        <v>0</v>
      </c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</row>
    <row r="25" spans="1:318" s="12" customFormat="1" ht="18" customHeight="1" x14ac:dyDescent="0.25">
      <c r="A25" s="14"/>
      <c r="B25" s="71"/>
      <c r="C25" s="1"/>
      <c r="D25" t="s">
        <v>147</v>
      </c>
      <c r="E25" s="1">
        <v>10993</v>
      </c>
      <c r="F25" s="1">
        <v>2016</v>
      </c>
      <c r="G25"/>
      <c r="H25" s="1">
        <f>SUM(J25:LF25)</f>
        <v>6</v>
      </c>
      <c r="I25" s="14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>
        <v>0</v>
      </c>
      <c r="CK25" s="1">
        <v>6</v>
      </c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</row>
    <row r="26" spans="1:318" s="12" customFormat="1" ht="18" customHeight="1" x14ac:dyDescent="0.3">
      <c r="A26" s="14">
        <v>7</v>
      </c>
      <c r="B26" s="54" t="s">
        <v>148</v>
      </c>
      <c r="C26" s="1">
        <v>2372</v>
      </c>
      <c r="D26" t="s">
        <v>149</v>
      </c>
      <c r="E26" s="1">
        <v>9449</v>
      </c>
      <c r="F26" s="1">
        <v>2011</v>
      </c>
      <c r="G26" t="s">
        <v>127</v>
      </c>
      <c r="H26" s="1">
        <f>SUM(J26:LF26)</f>
        <v>298</v>
      </c>
      <c r="I26" s="14">
        <f>Tabuľka11[[#This Row],[Stĺpec98]]+Tabuľka11[[#This Row],[Stĺpec140]]+Tabuľka11[[#This Row],[Stĺpec147]]+Tabuľka11[[#This Row],[Stĺpec163]]+Tabuľka11[[#This Row],[Stĺpec171]]+Tabuľka11[[#This Row],[Stĺpec218]]+Tabuľka11[[#This Row],[Stĺpec211]]+Tabuľka11[[#This Row],[Stĺpec210]]+Tabuľka11[[#This Row],[Stĺpec203]]+Tabuľka11[[#This Row],[Stĺpec276]]+Tabuľka11[[#This Row],[Stĺpec249]]+Tabuľka11[[#This Row],[Stĺpec247]]+Tabuľka11[[#This Row],[Stĺpec228]]+Tabuľka11[[#This Row],[Stĺpec293]]+Tabuľka11[[#This Row],[Stĺpec286]]</f>
        <v>169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>
        <v>0</v>
      </c>
      <c r="CO26" s="1">
        <v>3</v>
      </c>
      <c r="CP26" s="1"/>
      <c r="CQ26" s="1"/>
      <c r="CR26" s="1"/>
      <c r="CS26" s="1"/>
      <c r="CT26" s="1"/>
      <c r="CU26" s="1">
        <v>3</v>
      </c>
      <c r="CV26" s="1">
        <v>12</v>
      </c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/>
      <c r="DJ26"/>
      <c r="DK26"/>
      <c r="DL26"/>
      <c r="DM26"/>
      <c r="DN26">
        <f>3+5</f>
        <v>8</v>
      </c>
      <c r="DO26">
        <v>5</v>
      </c>
      <c r="DP26"/>
      <c r="DQ26"/>
      <c r="DR26"/>
      <c r="DS26"/>
      <c r="DT26"/>
      <c r="DU26"/>
      <c r="DV26">
        <f>2+5</f>
        <v>7</v>
      </c>
      <c r="DW26">
        <f>4+5</f>
        <v>9</v>
      </c>
      <c r="DX26"/>
      <c r="DY26"/>
      <c r="DZ26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/>
      <c r="ER26"/>
      <c r="ES26"/>
      <c r="ET26"/>
      <c r="EU26"/>
      <c r="EV26">
        <f>4+5</f>
        <v>9</v>
      </c>
      <c r="EW26">
        <f>5+7</f>
        <v>12</v>
      </c>
      <c r="EX26"/>
      <c r="EY26"/>
      <c r="EZ26"/>
      <c r="FA26"/>
      <c r="FB26"/>
      <c r="FC26"/>
      <c r="FD26">
        <f>5+6</f>
        <v>11</v>
      </c>
      <c r="FE26">
        <v>7</v>
      </c>
      <c r="FF26"/>
      <c r="FG26"/>
      <c r="FH26"/>
      <c r="FI26"/>
      <c r="FJ26"/>
      <c r="FK26"/>
      <c r="FL26" s="266"/>
      <c r="FM26"/>
      <c r="FN26"/>
      <c r="FO26" s="266"/>
      <c r="FP26"/>
      <c r="FQ26"/>
      <c r="FR26"/>
      <c r="FS26" s="267">
        <f>4+3</f>
        <v>7</v>
      </c>
      <c r="FT26" s="267">
        <f>5+6</f>
        <v>11</v>
      </c>
      <c r="FU26"/>
      <c r="FV26"/>
      <c r="FW26"/>
      <c r="FX26"/>
      <c r="FY26"/>
      <c r="FZ26"/>
      <c r="GA26"/>
      <c r="GB26" s="267">
        <f>6+8</f>
        <v>14</v>
      </c>
      <c r="GC26"/>
      <c r="GD26" s="266"/>
      <c r="GE26"/>
      <c r="GF26"/>
      <c r="GG26"/>
      <c r="GH26"/>
      <c r="GI26"/>
      <c r="GJ26"/>
      <c r="GK26">
        <f>6+6</f>
        <v>12</v>
      </c>
      <c r="GL26">
        <v>5</v>
      </c>
      <c r="GM26"/>
      <c r="GN26"/>
      <c r="GO26"/>
      <c r="GP26"/>
      <c r="GQ26"/>
      <c r="GR26">
        <f>4+5</f>
        <v>9</v>
      </c>
      <c r="GS26">
        <f>3+6</f>
        <v>9</v>
      </c>
      <c r="GT26"/>
      <c r="GU26"/>
      <c r="GV26"/>
      <c r="GW26"/>
      <c r="GX26"/>
      <c r="GY26"/>
      <c r="GZ26">
        <f>5+7</f>
        <v>12</v>
      </c>
      <c r="HA26">
        <f>4+4</f>
        <v>8</v>
      </c>
      <c r="HB26"/>
      <c r="HC26"/>
      <c r="HD26"/>
      <c r="HE26"/>
      <c r="HF26"/>
      <c r="HG26"/>
      <c r="HH26"/>
      <c r="HI26"/>
      <c r="HJ26"/>
      <c r="HK26"/>
      <c r="HL26" s="1"/>
      <c r="HM26" s="1"/>
      <c r="HN26" s="1"/>
      <c r="HO26" s="1"/>
      <c r="HP26" s="1"/>
      <c r="HQ26" s="1"/>
      <c r="HR26" s="1"/>
      <c r="HS26" s="1"/>
      <c r="HT26" s="1">
        <v>10</v>
      </c>
      <c r="HU26" s="1"/>
      <c r="HV26" s="1">
        <v>7</v>
      </c>
      <c r="HW26" s="1">
        <v>8</v>
      </c>
      <c r="HX26" s="1"/>
      <c r="HY26" s="1">
        <v>5</v>
      </c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>
        <v>9</v>
      </c>
      <c r="IQ26" s="1">
        <v>9</v>
      </c>
      <c r="IR26" s="1"/>
      <c r="IS26" s="1"/>
      <c r="IT26" s="1"/>
      <c r="IU26" s="1">
        <v>10</v>
      </c>
      <c r="IV26" s="1"/>
      <c r="IW26" s="1">
        <v>13</v>
      </c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>
        <v>5</v>
      </c>
      <c r="JK26" s="1">
        <v>12</v>
      </c>
      <c r="JL26" s="1"/>
      <c r="JM26" s="1"/>
      <c r="JN26" s="1"/>
      <c r="JO26" s="1"/>
      <c r="JP26" s="1">
        <v>8</v>
      </c>
      <c r="JQ26" s="1">
        <v>11</v>
      </c>
      <c r="JR26" s="1"/>
      <c r="JS26" s="1"/>
      <c r="JT26" s="1"/>
      <c r="JU26" s="1"/>
      <c r="JV26" s="1"/>
      <c r="JW26" s="1">
        <v>7</v>
      </c>
      <c r="JX26" s="1">
        <v>11</v>
      </c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</row>
    <row r="27" spans="1:318" s="12" customFormat="1" ht="18" customHeight="1" x14ac:dyDescent="0.25">
      <c r="A27" s="14"/>
      <c r="B27" s="54"/>
      <c r="C27" s="1"/>
      <c r="D27" t="s">
        <v>150</v>
      </c>
      <c r="E27" s="1">
        <v>10655</v>
      </c>
      <c r="F27" s="1">
        <v>2015</v>
      </c>
      <c r="G27"/>
      <c r="H27" s="1">
        <f>SUM(J27:LF27)</f>
        <v>48</v>
      </c>
      <c r="I27" s="14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/>
      <c r="DJ27"/>
      <c r="DK27"/>
      <c r="DL27"/>
      <c r="DM27"/>
      <c r="DN27">
        <v>3</v>
      </c>
      <c r="DO27">
        <v>0</v>
      </c>
      <c r="DP27"/>
      <c r="DQ27"/>
      <c r="DR27"/>
      <c r="DS27"/>
      <c r="DT27"/>
      <c r="DU27"/>
      <c r="DV27">
        <v>1</v>
      </c>
      <c r="DW27">
        <v>3</v>
      </c>
      <c r="DX27"/>
      <c r="DY27"/>
      <c r="DZ27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/>
      <c r="ER27"/>
      <c r="ES27"/>
      <c r="ET27"/>
      <c r="EU27"/>
      <c r="EV27">
        <v>1</v>
      </c>
      <c r="EW27">
        <v>3</v>
      </c>
      <c r="EX27"/>
      <c r="EY27"/>
      <c r="EZ27"/>
      <c r="FA27"/>
      <c r="FB27"/>
      <c r="FC27"/>
      <c r="FD27">
        <v>2</v>
      </c>
      <c r="FE27">
        <v>4</v>
      </c>
      <c r="FF27"/>
      <c r="FG27"/>
      <c r="FH27"/>
      <c r="FI27"/>
      <c r="FJ27"/>
      <c r="FK27"/>
      <c r="FL27" s="266"/>
      <c r="FM27"/>
      <c r="FN27"/>
      <c r="FO27" s="266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 s="266"/>
      <c r="GE27"/>
      <c r="GF27"/>
      <c r="GG27"/>
      <c r="GH27"/>
      <c r="GI27"/>
      <c r="GJ27"/>
      <c r="GK27">
        <f>5+4</f>
        <v>9</v>
      </c>
      <c r="GL27">
        <v>4</v>
      </c>
      <c r="GM27"/>
      <c r="GN27"/>
      <c r="GO27"/>
      <c r="GP27"/>
      <c r="GQ27"/>
      <c r="GR27">
        <f>2+5</f>
        <v>7</v>
      </c>
      <c r="GS27">
        <v>0</v>
      </c>
      <c r="GT27"/>
      <c r="GU27"/>
      <c r="GV27"/>
      <c r="GW27"/>
      <c r="GX27"/>
      <c r="GY27"/>
      <c r="GZ27">
        <f>1+4</f>
        <v>5</v>
      </c>
      <c r="HA27">
        <f>3+3</f>
        <v>6</v>
      </c>
      <c r="HB27"/>
      <c r="HC27"/>
      <c r="HD27"/>
      <c r="HE27"/>
      <c r="HF27"/>
      <c r="HG27"/>
      <c r="HH27"/>
      <c r="HI27"/>
      <c r="HJ27"/>
      <c r="HK27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</row>
    <row r="28" spans="1:318" s="12" customFormat="1" ht="18" customHeight="1" x14ac:dyDescent="0.25">
      <c r="A28" s="14"/>
      <c r="B28" s="71"/>
      <c r="C28" s="1"/>
      <c r="D28" t="s">
        <v>151</v>
      </c>
      <c r="E28" s="1">
        <v>11293</v>
      </c>
      <c r="F28" s="1">
        <v>2016</v>
      </c>
      <c r="G28"/>
      <c r="H28" s="1">
        <f>SUM(J28:LF28)</f>
        <v>60</v>
      </c>
      <c r="I28" s="14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/>
      <c r="DJ28"/>
      <c r="DK28"/>
      <c r="DL28">
        <v>0</v>
      </c>
      <c r="DM28"/>
      <c r="DN28"/>
      <c r="DO28"/>
      <c r="DP28"/>
      <c r="DQ28">
        <f>3+2</f>
        <v>5</v>
      </c>
      <c r="DR28"/>
      <c r="DS28"/>
      <c r="DT28"/>
      <c r="DU28"/>
      <c r="DV28"/>
      <c r="DW28"/>
      <c r="DX28"/>
      <c r="DY28"/>
      <c r="DZ28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/>
      <c r="ER28"/>
      <c r="ES28"/>
      <c r="ET28">
        <f>1+1</f>
        <v>2</v>
      </c>
      <c r="EU28"/>
      <c r="EV28"/>
      <c r="EW28"/>
      <c r="EX28"/>
      <c r="EY28"/>
      <c r="EZ28"/>
      <c r="FA28"/>
      <c r="FB28">
        <f>2+3</f>
        <v>5</v>
      </c>
      <c r="FC28"/>
      <c r="FD28"/>
      <c r="FE28"/>
      <c r="FF28"/>
      <c r="FG28"/>
      <c r="FH28"/>
      <c r="FI28"/>
      <c r="FJ28"/>
      <c r="FK28"/>
      <c r="FL28" s="266"/>
      <c r="FM28"/>
      <c r="FN28"/>
      <c r="FO28" s="266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 s="266"/>
      <c r="GE28"/>
      <c r="GF28"/>
      <c r="GG28">
        <f>1+2</f>
        <v>3</v>
      </c>
      <c r="GH28"/>
      <c r="GI28"/>
      <c r="GJ28"/>
      <c r="GK28"/>
      <c r="GL28"/>
      <c r="GM28"/>
      <c r="GN28">
        <f>2+2</f>
        <v>4</v>
      </c>
      <c r="GO28"/>
      <c r="GP28"/>
      <c r="GQ28"/>
      <c r="GR28"/>
      <c r="GS28"/>
      <c r="GT28"/>
      <c r="GU28"/>
      <c r="GV28"/>
      <c r="GW28">
        <v>3</v>
      </c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>
        <v>7</v>
      </c>
      <c r="IN28" s="1">
        <v>3</v>
      </c>
      <c r="IO28" s="1"/>
      <c r="IP28" s="1"/>
      <c r="IQ28" s="1"/>
      <c r="IR28" s="1"/>
      <c r="IS28" s="1">
        <v>3</v>
      </c>
      <c r="IT28" s="1">
        <v>5</v>
      </c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>
        <v>1</v>
      </c>
      <c r="JI28" s="1">
        <v>0</v>
      </c>
      <c r="JJ28" s="1"/>
      <c r="JK28" s="1"/>
      <c r="JL28" s="1"/>
      <c r="JM28" s="1"/>
      <c r="JN28" s="1">
        <v>6</v>
      </c>
      <c r="JO28" s="1">
        <v>5</v>
      </c>
      <c r="JP28" s="1"/>
      <c r="JQ28" s="1"/>
      <c r="JR28" s="1"/>
      <c r="JS28" s="1"/>
      <c r="JT28" s="1">
        <v>2</v>
      </c>
      <c r="JU28" s="1"/>
      <c r="JV28" s="1">
        <v>6</v>
      </c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</row>
    <row r="29" spans="1:318" s="12" customFormat="1" ht="18" customHeight="1" x14ac:dyDescent="0.25">
      <c r="A29" s="14">
        <v>8</v>
      </c>
      <c r="B29" s="54" t="s">
        <v>152</v>
      </c>
      <c r="C29" s="1">
        <v>2366</v>
      </c>
      <c r="D29" t="s">
        <v>153</v>
      </c>
      <c r="E29" s="1">
        <v>10267</v>
      </c>
      <c r="F29" s="1">
        <v>2014</v>
      </c>
      <c r="G29" t="s">
        <v>127</v>
      </c>
      <c r="H29" s="1">
        <f>SUM(J29:LF29)</f>
        <v>186</v>
      </c>
      <c r="I29" s="14">
        <f>Tabuľka11[[#This Row],[Stĺpec117]]+Tabuľka11[[#This Row],[Stĺpec124]]+EQ33+Tabuľka11[[#This Row],[Stĺpec139]]+Tabuľka11[[#This Row],[Stĺpec220]]+GQ31+Tabuľka11[[#This Row],[Stĺpec202]]+Tabuľka11[[#This Row],[Stĺpec276]]+Tabuľka11[[#This Row],[Stĺpec273]]+IM30+Tabuľka11[[#This Row],[Stĺpec254]]+IS30+JU30+Tabuľka11[[#This Row],[Stĺpec287]]+Tabuľka11[[#This Row],[Stĺpec286]]</f>
        <v>155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>
        <f>0+1</f>
        <v>1</v>
      </c>
      <c r="CN29">
        <f>0+4</f>
        <v>4</v>
      </c>
      <c r="CO29"/>
      <c r="CP29"/>
      <c r="CQ29"/>
      <c r="CR29"/>
      <c r="CS29"/>
      <c r="CT29"/>
      <c r="CU29">
        <f>1+4</f>
        <v>5</v>
      </c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>
        <f>2+5</f>
        <v>7</v>
      </c>
      <c r="DO29">
        <f>4+6</f>
        <v>10</v>
      </c>
      <c r="DP29"/>
      <c r="DQ29"/>
      <c r="DR29"/>
      <c r="DS29"/>
      <c r="DT29"/>
      <c r="DU29"/>
      <c r="DV29">
        <f>6+6</f>
        <v>12</v>
      </c>
      <c r="DW29"/>
      <c r="DX29"/>
      <c r="DY29"/>
      <c r="DZ29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/>
      <c r="ER29"/>
      <c r="ES29"/>
      <c r="ET29"/>
      <c r="EU29"/>
      <c r="EV29">
        <f>6+6</f>
        <v>12</v>
      </c>
      <c r="EW29">
        <v>0</v>
      </c>
      <c r="EX29"/>
      <c r="EY29"/>
      <c r="EZ29"/>
      <c r="FA29"/>
      <c r="FB29"/>
      <c r="FC29"/>
      <c r="FD29">
        <f>2+4</f>
        <v>6</v>
      </c>
      <c r="FE29"/>
      <c r="FF29"/>
      <c r="FG29"/>
      <c r="FH29"/>
      <c r="FI29"/>
      <c r="FJ29"/>
      <c r="FK29"/>
      <c r="FL29" s="266"/>
      <c r="FM29"/>
      <c r="FN29"/>
      <c r="FO29" s="266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 s="266"/>
      <c r="GE29"/>
      <c r="GF29"/>
      <c r="GG29"/>
      <c r="GH29"/>
      <c r="GI29">
        <f>6+6</f>
        <v>12</v>
      </c>
      <c r="GJ29"/>
      <c r="GK29">
        <f>4+3</f>
        <v>7</v>
      </c>
      <c r="GL29"/>
      <c r="GM29"/>
      <c r="GN29"/>
      <c r="GO29"/>
      <c r="GP29"/>
      <c r="GQ29"/>
      <c r="GR29">
        <f>3+5</f>
        <v>8</v>
      </c>
      <c r="GS29"/>
      <c r="GT29"/>
      <c r="GU29"/>
      <c r="GV29"/>
      <c r="GW29"/>
      <c r="GX29"/>
      <c r="GY29"/>
      <c r="GZ29"/>
      <c r="HA29">
        <f>7+6</f>
        <v>13</v>
      </c>
      <c r="HB29"/>
      <c r="HC29"/>
      <c r="HD29"/>
      <c r="HE29"/>
      <c r="HF29"/>
      <c r="HG29"/>
      <c r="HH29"/>
      <c r="HI29"/>
      <c r="HJ29"/>
      <c r="HK29"/>
      <c r="HL29" s="1"/>
      <c r="HM29" s="1"/>
      <c r="HN29" s="1"/>
      <c r="HO29" s="1"/>
      <c r="HP29" s="1"/>
      <c r="HQ29" s="1"/>
      <c r="HR29" s="1"/>
      <c r="HS29" s="1"/>
      <c r="HT29" s="1">
        <v>11</v>
      </c>
      <c r="HU29" s="1"/>
      <c r="HV29" s="1">
        <v>3</v>
      </c>
      <c r="HW29" s="1">
        <v>9</v>
      </c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>
        <v>0</v>
      </c>
      <c r="IP29" s="1">
        <v>8</v>
      </c>
      <c r="IQ29" s="1"/>
      <c r="IR29" s="1"/>
      <c r="IS29" s="1"/>
      <c r="IT29" s="1"/>
      <c r="IU29" s="1"/>
      <c r="IV29" s="1">
        <v>5</v>
      </c>
      <c r="IW29" s="1">
        <v>8</v>
      </c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>
        <v>6</v>
      </c>
      <c r="JK29" s="1">
        <v>8</v>
      </c>
      <c r="JL29" s="1"/>
      <c r="JM29" s="1"/>
      <c r="JN29" s="1"/>
      <c r="JO29" s="1"/>
      <c r="JP29" s="1">
        <v>3</v>
      </c>
      <c r="JQ29" s="1">
        <v>6</v>
      </c>
      <c r="JR29" s="1"/>
      <c r="JS29" s="1"/>
      <c r="JT29" s="1"/>
      <c r="JU29" s="1"/>
      <c r="JV29" s="1"/>
      <c r="JW29" s="1">
        <v>9</v>
      </c>
      <c r="JX29" s="1">
        <v>13</v>
      </c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</row>
    <row r="30" spans="1:318" s="12" customFormat="1" ht="17.25" customHeight="1" x14ac:dyDescent="0.25">
      <c r="A30" s="14"/>
      <c r="B30" s="54"/>
      <c r="C30" s="1"/>
      <c r="D30" t="s">
        <v>154</v>
      </c>
      <c r="E30" s="1">
        <v>11297</v>
      </c>
      <c r="F30" s="1">
        <v>2017</v>
      </c>
      <c r="G30"/>
      <c r="H30" s="1">
        <f>SUM(J30:LF30)</f>
        <v>96.8</v>
      </c>
      <c r="I30" s="1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>
        <v>2</v>
      </c>
      <c r="DJ30"/>
      <c r="DK30"/>
      <c r="DL30">
        <f>2+2</f>
        <v>4</v>
      </c>
      <c r="DM30"/>
      <c r="DN30"/>
      <c r="DO30"/>
      <c r="DP30"/>
      <c r="DQ30">
        <f>1+5</f>
        <v>6</v>
      </c>
      <c r="DR30"/>
      <c r="DS30"/>
      <c r="DT30"/>
      <c r="DU30"/>
      <c r="DV30"/>
      <c r="DW30"/>
      <c r="DX30"/>
      <c r="DY30"/>
      <c r="DZ30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>
        <f>(1+5)*1.2</f>
        <v>7.1999999999999993</v>
      </c>
      <c r="ER30"/>
      <c r="ES30"/>
      <c r="ET30"/>
      <c r="EU30"/>
      <c r="EV30"/>
      <c r="EW30"/>
      <c r="EX30"/>
      <c r="EY30">
        <f>(0+3)*1.2</f>
        <v>3.5999999999999996</v>
      </c>
      <c r="EZ30"/>
      <c r="FA30"/>
      <c r="FB30"/>
      <c r="FC30"/>
      <c r="FD30"/>
      <c r="FE30"/>
      <c r="FF30"/>
      <c r="FG30"/>
      <c r="FH30"/>
      <c r="FI30"/>
      <c r="FJ30"/>
      <c r="FK30"/>
      <c r="FL30" s="266"/>
      <c r="FM30"/>
      <c r="FN30"/>
      <c r="FO30" s="266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 s="266"/>
      <c r="GE30"/>
      <c r="GF30"/>
      <c r="GG30">
        <f>2+2</f>
        <v>4</v>
      </c>
      <c r="GH30"/>
      <c r="GI30"/>
      <c r="GJ30"/>
      <c r="GK30"/>
      <c r="GL30"/>
      <c r="GM30">
        <v>4</v>
      </c>
      <c r="GN30"/>
      <c r="GO30"/>
      <c r="GP30"/>
      <c r="GQ30"/>
      <c r="GR30"/>
      <c r="GS30"/>
      <c r="GT30"/>
      <c r="GU30"/>
      <c r="GV30"/>
      <c r="GW30">
        <f>1+3</f>
        <v>4</v>
      </c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 s="1"/>
      <c r="HM30" s="1"/>
      <c r="HN30" s="1"/>
      <c r="HO30" s="1"/>
      <c r="HP30" s="1"/>
      <c r="HQ30" s="1"/>
      <c r="HR30" s="1"/>
      <c r="HS30" s="1"/>
      <c r="HT30" s="1"/>
      <c r="HU30" s="1">
        <v>4</v>
      </c>
      <c r="HV30" s="1"/>
      <c r="HW30" s="1"/>
      <c r="HX30" s="1">
        <v>4</v>
      </c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>
        <v>9</v>
      </c>
      <c r="IN30" s="1"/>
      <c r="IO30" s="1"/>
      <c r="IP30" s="1"/>
      <c r="IQ30" s="1"/>
      <c r="IR30" s="1"/>
      <c r="IS30" s="1">
        <v>9</v>
      </c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>
        <v>6</v>
      </c>
      <c r="JH30" s="1">
        <v>5</v>
      </c>
      <c r="JI30" s="1"/>
      <c r="JJ30" s="1"/>
      <c r="JK30" s="1"/>
      <c r="JL30" s="1"/>
      <c r="JM30" s="1">
        <v>7</v>
      </c>
      <c r="JN30" s="1"/>
      <c r="JO30" s="1"/>
      <c r="JP30" s="1"/>
      <c r="JQ30" s="1"/>
      <c r="JR30" s="1"/>
      <c r="JS30" s="1"/>
      <c r="JT30" s="1">
        <v>7</v>
      </c>
      <c r="JU30" s="1">
        <v>11</v>
      </c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</row>
    <row r="31" spans="1:318" s="12" customFormat="1" ht="18" customHeight="1" x14ac:dyDescent="0.25">
      <c r="A31" s="14"/>
      <c r="B31" s="54"/>
      <c r="C31" s="1"/>
      <c r="D31" t="s">
        <v>155</v>
      </c>
      <c r="E31" s="1">
        <v>10657</v>
      </c>
      <c r="F31" s="1">
        <v>2014</v>
      </c>
      <c r="G31"/>
      <c r="H31" s="1">
        <f>SUM(J31:LF31)</f>
        <v>31</v>
      </c>
      <c r="I31" s="1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>
        <v>4</v>
      </c>
      <c r="DO31">
        <v>0</v>
      </c>
      <c r="DP31"/>
      <c r="DQ31"/>
      <c r="DR31"/>
      <c r="DS31"/>
      <c r="DT31"/>
      <c r="DU31"/>
      <c r="DV31">
        <v>4</v>
      </c>
      <c r="DW31"/>
      <c r="DX31"/>
      <c r="DY31"/>
      <c r="DZ3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/>
      <c r="ER31"/>
      <c r="ES31"/>
      <c r="ET31"/>
      <c r="EU31"/>
      <c r="EV31">
        <v>3</v>
      </c>
      <c r="EW31"/>
      <c r="EX31"/>
      <c r="EY31"/>
      <c r="EZ31"/>
      <c r="FA31"/>
      <c r="FB31"/>
      <c r="FC31"/>
      <c r="FD31">
        <v>2</v>
      </c>
      <c r="FE31"/>
      <c r="FF31"/>
      <c r="FG31"/>
      <c r="FH31"/>
      <c r="FI31"/>
      <c r="FJ31"/>
      <c r="FK31"/>
      <c r="FL31" s="266"/>
      <c r="FM31"/>
      <c r="FN31"/>
      <c r="FO31" s="266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 s="266"/>
      <c r="GE31"/>
      <c r="GF31"/>
      <c r="GG31"/>
      <c r="GH31"/>
      <c r="GI31">
        <f>3+4</f>
        <v>7</v>
      </c>
      <c r="GJ31"/>
      <c r="GK31"/>
      <c r="GL31"/>
      <c r="GM31"/>
      <c r="GN31"/>
      <c r="GO31"/>
      <c r="GP31"/>
      <c r="GQ31">
        <f>5+3</f>
        <v>8</v>
      </c>
      <c r="GR31"/>
      <c r="GS31"/>
      <c r="GT31"/>
      <c r="GU31"/>
      <c r="GV31"/>
      <c r="GW31"/>
      <c r="GX31"/>
      <c r="GY31"/>
      <c r="GZ31">
        <v>3</v>
      </c>
      <c r="HA31"/>
      <c r="HB31"/>
      <c r="HC31"/>
      <c r="HD31"/>
      <c r="HE31"/>
      <c r="HF31"/>
      <c r="HG31"/>
      <c r="HH31"/>
      <c r="HI31"/>
      <c r="HJ31"/>
      <c r="HK3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</row>
    <row r="32" spans="1:318" s="12" customFormat="1" ht="18" customHeight="1" x14ac:dyDescent="0.25">
      <c r="A32" s="14"/>
      <c r="B32" s="71"/>
      <c r="C32" s="1"/>
      <c r="D32" t="s">
        <v>156</v>
      </c>
      <c r="E32" s="1">
        <v>11292</v>
      </c>
      <c r="F32" s="1"/>
      <c r="G32"/>
      <c r="H32" s="1">
        <f>SUM(J32:LF32)</f>
        <v>21</v>
      </c>
      <c r="I32" s="1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>
        <v>1</v>
      </c>
      <c r="DM32">
        <f>1+2</f>
        <v>3</v>
      </c>
      <c r="DN32"/>
      <c r="DO32"/>
      <c r="DP32"/>
      <c r="DQ32"/>
      <c r="DR32"/>
      <c r="DS32"/>
      <c r="DT32">
        <f>1+2</f>
        <v>3</v>
      </c>
      <c r="DU32"/>
      <c r="DV32"/>
      <c r="DW32"/>
      <c r="DX32"/>
      <c r="DY32"/>
      <c r="DZ32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/>
      <c r="ER32"/>
      <c r="ES32"/>
      <c r="ET32">
        <v>0</v>
      </c>
      <c r="EU32">
        <f>1+3</f>
        <v>4</v>
      </c>
      <c r="EV32"/>
      <c r="EW32"/>
      <c r="EX32"/>
      <c r="EY32"/>
      <c r="EZ32"/>
      <c r="FA32"/>
      <c r="FB32">
        <f>1+2</f>
        <v>3</v>
      </c>
      <c r="FC32"/>
      <c r="FD32"/>
      <c r="FE32"/>
      <c r="FF32"/>
      <c r="FG32"/>
      <c r="FH32"/>
      <c r="FI32"/>
      <c r="FJ32"/>
      <c r="FK32"/>
      <c r="FL32" s="266"/>
      <c r="FM32"/>
      <c r="FN32"/>
      <c r="FO32" s="266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 s="266"/>
      <c r="GE32"/>
      <c r="GF32"/>
      <c r="GG32">
        <v>0</v>
      </c>
      <c r="GH32">
        <v>2</v>
      </c>
      <c r="GI32"/>
      <c r="GJ32"/>
      <c r="GK32"/>
      <c r="GL32"/>
      <c r="GM32"/>
      <c r="GN32">
        <f>1+1</f>
        <v>2</v>
      </c>
      <c r="GO32"/>
      <c r="GP32"/>
      <c r="GQ32"/>
      <c r="GR32"/>
      <c r="GS32"/>
      <c r="GT32"/>
      <c r="GU32"/>
      <c r="GV32"/>
      <c r="GW32"/>
      <c r="GX32"/>
      <c r="GY32">
        <f>1+2</f>
        <v>3</v>
      </c>
      <c r="GZ32"/>
      <c r="HA32"/>
      <c r="HB32"/>
      <c r="HC32"/>
      <c r="HD32"/>
      <c r="HE32"/>
      <c r="HF32"/>
      <c r="HG32"/>
      <c r="HH32"/>
      <c r="HI32"/>
      <c r="HJ32"/>
      <c r="HK32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</row>
    <row r="33" spans="1:318" s="12" customFormat="1" ht="18" customHeight="1" x14ac:dyDescent="0.25">
      <c r="A33" s="14"/>
      <c r="B33" s="54"/>
      <c r="C33" s="1"/>
      <c r="D33" t="s">
        <v>157</v>
      </c>
      <c r="E33" s="1">
        <v>11523</v>
      </c>
      <c r="F33" s="1">
        <v>2015</v>
      </c>
      <c r="G33"/>
      <c r="H33" s="1">
        <f>SUM(J33:LF33)</f>
        <v>23</v>
      </c>
      <c r="I33" s="1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>
        <v>0</v>
      </c>
      <c r="DJ33"/>
      <c r="DK33"/>
      <c r="DL33"/>
      <c r="DM33"/>
      <c r="DN33"/>
      <c r="DO33"/>
      <c r="DP33"/>
      <c r="DQ33">
        <f>2+1</f>
        <v>3</v>
      </c>
      <c r="DR33"/>
      <c r="DS33"/>
      <c r="DT33"/>
      <c r="DU33"/>
      <c r="DV33"/>
      <c r="DW33"/>
      <c r="DX33"/>
      <c r="DY33"/>
      <c r="DZ33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>
        <f>3+6</f>
        <v>9</v>
      </c>
      <c r="ER33"/>
      <c r="ES33"/>
      <c r="ET33"/>
      <c r="EU33"/>
      <c r="EV33"/>
      <c r="EW33"/>
      <c r="EX33"/>
      <c r="EY33">
        <f>1+2</f>
        <v>3</v>
      </c>
      <c r="EZ33"/>
      <c r="FA33"/>
      <c r="FB33"/>
      <c r="FC33"/>
      <c r="FD33"/>
      <c r="FE33"/>
      <c r="FF33"/>
      <c r="FG33"/>
      <c r="FH33"/>
      <c r="FI33"/>
      <c r="FJ33"/>
      <c r="FK33"/>
      <c r="FL33" s="266"/>
      <c r="FM33"/>
      <c r="FN33"/>
      <c r="FO33" s="266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 s="266"/>
      <c r="GE33">
        <v>0</v>
      </c>
      <c r="GF33"/>
      <c r="GG33"/>
      <c r="GH33"/>
      <c r="GI33"/>
      <c r="GJ33"/>
      <c r="GK33"/>
      <c r="GL33"/>
      <c r="GM33">
        <f>1+3</f>
        <v>4</v>
      </c>
      <c r="GN33"/>
      <c r="GO33"/>
      <c r="GP33"/>
      <c r="GQ33"/>
      <c r="GR33"/>
      <c r="GS33"/>
      <c r="GT33"/>
      <c r="GU33"/>
      <c r="GV33">
        <f>1+3</f>
        <v>4</v>
      </c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</row>
    <row r="34" spans="1:318" s="12" customFormat="1" ht="18" customHeight="1" x14ac:dyDescent="0.25">
      <c r="A34" s="14">
        <v>9</v>
      </c>
      <c r="B34" s="54" t="s">
        <v>164</v>
      </c>
      <c r="C34" s="1">
        <v>5185</v>
      </c>
      <c r="D34" t="s">
        <v>165</v>
      </c>
      <c r="E34" s="1">
        <v>11544</v>
      </c>
      <c r="F34" s="1">
        <v>2017</v>
      </c>
      <c r="G34" t="s">
        <v>137</v>
      </c>
      <c r="H34" s="1">
        <f>SUM(J34:LF34)</f>
        <v>19</v>
      </c>
      <c r="I34" s="14">
        <f>BY36+BZ36+CI36+EC36+EC37+EJ36+EJ37+Tabuľka11[[#This Row],[Stĺpec156]]+FN37+HK36+HK37+KJ35+Tabuľka11[[#This Row],[Stĺpec312]]+KL36+KN36</f>
        <v>146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>
        <f>3+8</f>
        <v>11</v>
      </c>
      <c r="FN34"/>
      <c r="FO34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268"/>
      <c r="KK34" s="268">
        <f>2+6</f>
        <v>8</v>
      </c>
      <c r="KL34" s="268"/>
      <c r="KM34" s="268"/>
      <c r="KN34" s="387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</row>
    <row r="35" spans="1:318" s="12" customFormat="1" ht="18" customHeight="1" x14ac:dyDescent="0.25">
      <c r="A35" s="14"/>
      <c r="B35" s="54"/>
      <c r="C35" s="1"/>
      <c r="D35" t="s">
        <v>166</v>
      </c>
      <c r="E35" s="1">
        <v>11545</v>
      </c>
      <c r="F35" s="1">
        <v>2014</v>
      </c>
      <c r="G35"/>
      <c r="H35" s="1">
        <f>SUM(J35:LF35)</f>
        <v>16</v>
      </c>
      <c r="I35" s="14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/>
      <c r="FN35"/>
      <c r="FO35">
        <v>4</v>
      </c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268">
        <f>3+6</f>
        <v>9</v>
      </c>
      <c r="KK35" s="268"/>
      <c r="KL35" s="268"/>
      <c r="KM35" s="268">
        <f>0+3</f>
        <v>3</v>
      </c>
      <c r="KN35" s="387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</row>
    <row r="36" spans="1:318" s="12" customFormat="1" ht="18" customHeight="1" x14ac:dyDescent="0.25">
      <c r="A36" s="14"/>
      <c r="B36" s="71"/>
      <c r="C36" s="1"/>
      <c r="D36" s="4" t="s">
        <v>167</v>
      </c>
      <c r="E36" s="1">
        <v>11222</v>
      </c>
      <c r="F36" s="1">
        <v>2015</v>
      </c>
      <c r="G36"/>
      <c r="H36" s="1">
        <f>SUM(J36:LF36)</f>
        <v>78</v>
      </c>
      <c r="I36" s="14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>
        <v>8</v>
      </c>
      <c r="BZ36" s="1">
        <v>9</v>
      </c>
      <c r="CA36" s="1"/>
      <c r="CB36" s="1"/>
      <c r="CC36" s="1"/>
      <c r="CD36" s="1"/>
      <c r="CE36" s="1"/>
      <c r="CF36" s="1"/>
      <c r="CG36" s="1"/>
      <c r="CH36" s="1"/>
      <c r="CI36" s="1">
        <v>8</v>
      </c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/>
      <c r="EB36"/>
      <c r="EC36">
        <f>0+10</f>
        <v>10</v>
      </c>
      <c r="ED36"/>
      <c r="EE36"/>
      <c r="EF36"/>
      <c r="EG36"/>
      <c r="EH36"/>
      <c r="EI36"/>
      <c r="EJ36">
        <v>10</v>
      </c>
      <c r="EK36"/>
      <c r="EL36"/>
      <c r="EM36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/>
      <c r="FN36"/>
      <c r="FO36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>
        <v>10</v>
      </c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268"/>
      <c r="KK36" s="268"/>
      <c r="KL36" s="268">
        <f>6+8</f>
        <v>14</v>
      </c>
      <c r="KM36" s="268"/>
      <c r="KN36" s="387">
        <f>4+5</f>
        <v>9</v>
      </c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</row>
    <row r="37" spans="1:318" s="12" customFormat="1" ht="18" customHeight="1" x14ac:dyDescent="0.25">
      <c r="A37" s="14"/>
      <c r="B37" s="54"/>
      <c r="C37" s="1"/>
      <c r="D37" t="s">
        <v>168</v>
      </c>
      <c r="E37" s="1">
        <v>11463</v>
      </c>
      <c r="F37" s="1">
        <v>2015</v>
      </c>
      <c r="G37"/>
      <c r="H37" s="1">
        <f>SUM(J37:LF37)</f>
        <v>40</v>
      </c>
      <c r="I37" s="14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/>
      <c r="EB37"/>
      <c r="EC37">
        <v>10</v>
      </c>
      <c r="ED37"/>
      <c r="EE37"/>
      <c r="EF37"/>
      <c r="EG37"/>
      <c r="EH37"/>
      <c r="EI37"/>
      <c r="EJ37">
        <v>10</v>
      </c>
      <c r="EK37"/>
      <c r="EL37"/>
      <c r="EM37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/>
      <c r="FN37">
        <f>0+10</f>
        <v>10</v>
      </c>
      <c r="FO37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>
        <v>10</v>
      </c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</row>
    <row r="38" spans="1:318" ht="18" customHeight="1" x14ac:dyDescent="0.25">
      <c r="A38" s="14">
        <v>10</v>
      </c>
      <c r="B38" s="54" t="s">
        <v>158</v>
      </c>
      <c r="C38" s="1">
        <v>4920</v>
      </c>
      <c r="D38" t="s">
        <v>159</v>
      </c>
      <c r="E38" s="1">
        <v>9051</v>
      </c>
      <c r="F38" s="1">
        <v>2010</v>
      </c>
      <c r="G38" t="s">
        <v>160</v>
      </c>
      <c r="H38" s="1">
        <f>SUM(J38:LF38)</f>
        <v>67</v>
      </c>
      <c r="I38" s="14">
        <f>SUM(H38:H39)</f>
        <v>115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>
        <v>15</v>
      </c>
      <c r="CP38" s="1"/>
      <c r="CQ38" s="1"/>
      <c r="CR38" s="1"/>
      <c r="CS38" s="1"/>
      <c r="CT38" s="1"/>
      <c r="CU38" s="1"/>
      <c r="CV38" s="1">
        <v>15</v>
      </c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W38">
        <f>7+8</f>
        <v>15</v>
      </c>
      <c r="FE38">
        <v>7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>
        <v>15</v>
      </c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</row>
    <row r="39" spans="1:318" ht="18" customHeight="1" x14ac:dyDescent="0.25">
      <c r="B39" s="71"/>
      <c r="D39" t="s">
        <v>161</v>
      </c>
      <c r="E39" s="1">
        <v>11132</v>
      </c>
      <c r="F39" s="1">
        <v>2014</v>
      </c>
      <c r="H39" s="1">
        <f>SUM(J39:LF39)</f>
        <v>48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>
        <v>6</v>
      </c>
      <c r="CN39" s="1"/>
      <c r="CO39" s="1"/>
      <c r="CP39" s="1"/>
      <c r="CQ39" s="1"/>
      <c r="CR39" s="1"/>
      <c r="CS39" s="1">
        <v>5</v>
      </c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T39">
        <f>3+4</f>
        <v>7</v>
      </c>
      <c r="DU39">
        <f>3+6</f>
        <v>9</v>
      </c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T39">
        <f>3+3</f>
        <v>6</v>
      </c>
      <c r="EU39">
        <f>3+6</f>
        <v>9</v>
      </c>
      <c r="FB39">
        <f>3+3</f>
        <v>6</v>
      </c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</row>
    <row r="40" spans="1:318" s="12" customFormat="1" ht="18" customHeight="1" x14ac:dyDescent="0.25">
      <c r="A40" s="14">
        <v>11</v>
      </c>
      <c r="B40" s="54" t="s">
        <v>162</v>
      </c>
      <c r="C40" s="1">
        <v>867</v>
      </c>
      <c r="D40" t="s">
        <v>163</v>
      </c>
      <c r="E40" s="1">
        <v>9402</v>
      </c>
      <c r="F40" s="1">
        <v>2006</v>
      </c>
      <c r="G40" t="s">
        <v>146</v>
      </c>
      <c r="H40" s="1">
        <f>SUM(J40:LF40)</f>
        <v>111</v>
      </c>
      <c r="I40" s="14">
        <f>H40</f>
        <v>111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>
        <v>18</v>
      </c>
      <c r="BI40" s="1">
        <v>17</v>
      </c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/>
      <c r="DJ40"/>
      <c r="DK40"/>
      <c r="DL40"/>
      <c r="DM40"/>
      <c r="DN40"/>
      <c r="DO40"/>
      <c r="DP40">
        <f>8+10</f>
        <v>18</v>
      </c>
      <c r="DQ40"/>
      <c r="DR40"/>
      <c r="DS40"/>
      <c r="DT40"/>
      <c r="DU40"/>
      <c r="DV40"/>
      <c r="DW40"/>
      <c r="DX40"/>
      <c r="DY40"/>
      <c r="DZ40"/>
      <c r="EA40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>
        <v>12</v>
      </c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>
        <v>16</v>
      </c>
      <c r="EY40" s="1"/>
      <c r="EZ40" s="1"/>
      <c r="FA40" s="1"/>
      <c r="FB40" s="1"/>
      <c r="FC40" s="1"/>
      <c r="FD40" s="1"/>
      <c r="FE40" s="1"/>
      <c r="FF40" s="1"/>
      <c r="FG40"/>
      <c r="FH40"/>
      <c r="FI40"/>
      <c r="FJ40"/>
      <c r="FK40"/>
      <c r="FL40" s="266"/>
      <c r="FM40"/>
      <c r="FN40"/>
      <c r="FO40" s="266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 s="266"/>
      <c r="GE40"/>
      <c r="GF40"/>
      <c r="GG40"/>
      <c r="GH40"/>
      <c r="GI40"/>
      <c r="GJ40"/>
      <c r="GK40"/>
      <c r="GL40">
        <f>3+7</f>
        <v>10</v>
      </c>
      <c r="GM40"/>
      <c r="GN40"/>
      <c r="GO40"/>
      <c r="GP40"/>
      <c r="GQ40"/>
      <c r="GR40"/>
      <c r="GS40"/>
      <c r="GT40">
        <f>8+12</f>
        <v>20</v>
      </c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</row>
    <row r="41" spans="1:318" s="12" customFormat="1" ht="18" customHeight="1" x14ac:dyDescent="0.25">
      <c r="A41" s="14">
        <v>12</v>
      </c>
      <c r="B41" s="54" t="s">
        <v>169</v>
      </c>
      <c r="C41" s="1">
        <v>135</v>
      </c>
      <c r="D41" t="s">
        <v>170</v>
      </c>
      <c r="E41" s="1">
        <v>9074</v>
      </c>
      <c r="F41" s="1">
        <v>2009</v>
      </c>
      <c r="G41" t="s">
        <v>127</v>
      </c>
      <c r="H41" s="1">
        <f>SUM(J41:LF41)</f>
        <v>17</v>
      </c>
      <c r="I41" s="14">
        <f>CN42+CS42+CU42+DN42+DV42+Tabuľka11[[#This Row],[Stĺpec139]]+EV42+Tabuľka11[[#This Row],[Stĺpec147]]+FD42+GH43+GZ42+HT42+HW42+IN43+IS43</f>
        <v>105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/>
      <c r="ER41"/>
      <c r="ES41"/>
      <c r="ET41"/>
      <c r="EU41"/>
      <c r="EV41">
        <f>5+5</f>
        <v>10</v>
      </c>
      <c r="EW41"/>
      <c r="EX41"/>
      <c r="EY41"/>
      <c r="EZ41"/>
      <c r="FA41"/>
      <c r="FB41"/>
      <c r="FC41"/>
      <c r="FD41">
        <f>3+4</f>
        <v>7</v>
      </c>
      <c r="FE41"/>
      <c r="FF4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</row>
    <row r="42" spans="1:318" s="12" customFormat="1" ht="18" customHeight="1" x14ac:dyDescent="0.25">
      <c r="A42" s="14"/>
      <c r="B42" s="54"/>
      <c r="C42" s="1"/>
      <c r="D42" t="s">
        <v>171</v>
      </c>
      <c r="E42" s="1">
        <v>9454</v>
      </c>
      <c r="F42" s="1">
        <v>2009</v>
      </c>
      <c r="G42"/>
      <c r="H42" s="1">
        <f>SUM(J42:LF42)</f>
        <v>77</v>
      </c>
      <c r="I42" s="14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>
        <v>0</v>
      </c>
      <c r="CN42" s="1">
        <v>4</v>
      </c>
      <c r="CO42" s="1"/>
      <c r="CP42" s="1"/>
      <c r="CQ42" s="1"/>
      <c r="CR42" s="1"/>
      <c r="CS42" s="1">
        <v>7</v>
      </c>
      <c r="CT42" s="1"/>
      <c r="CU42" s="1">
        <v>11</v>
      </c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/>
      <c r="DJ42"/>
      <c r="DK42"/>
      <c r="DL42"/>
      <c r="DM42"/>
      <c r="DN42">
        <f>1+4</f>
        <v>5</v>
      </c>
      <c r="DO42"/>
      <c r="DP42"/>
      <c r="DQ42"/>
      <c r="DR42"/>
      <c r="DS42"/>
      <c r="DT42"/>
      <c r="DU42"/>
      <c r="DV42">
        <f>5+5</f>
        <v>10</v>
      </c>
      <c r="DW42"/>
      <c r="DX42"/>
      <c r="DY42"/>
      <c r="DZ42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/>
      <c r="ER42"/>
      <c r="ES42"/>
      <c r="ET42"/>
      <c r="EU42"/>
      <c r="EV42">
        <f>2+4</f>
        <v>6</v>
      </c>
      <c r="EW42"/>
      <c r="EX42"/>
      <c r="EY42"/>
      <c r="EZ42"/>
      <c r="FA42"/>
      <c r="FB42"/>
      <c r="FC42"/>
      <c r="FD42">
        <f>4+4</f>
        <v>8</v>
      </c>
      <c r="FE42"/>
      <c r="FF42"/>
      <c r="FG42"/>
      <c r="FH42"/>
      <c r="FI42"/>
      <c r="FJ42"/>
      <c r="FK42"/>
      <c r="FL42" s="266"/>
      <c r="FM42"/>
      <c r="FN42"/>
      <c r="FO42" s="266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 s="266"/>
      <c r="GE42"/>
      <c r="GF42"/>
      <c r="GG42"/>
      <c r="GH42"/>
      <c r="GI42">
        <v>2</v>
      </c>
      <c r="GJ42"/>
      <c r="GK42"/>
      <c r="GL42"/>
      <c r="GM42"/>
      <c r="GN42"/>
      <c r="GO42"/>
      <c r="GP42"/>
      <c r="GQ42"/>
      <c r="GR42">
        <v>3</v>
      </c>
      <c r="GS42"/>
      <c r="GT42"/>
      <c r="GU42"/>
      <c r="GV42"/>
      <c r="GW42"/>
      <c r="GX42"/>
      <c r="GY42"/>
      <c r="GZ42">
        <f>2+5</f>
        <v>7</v>
      </c>
      <c r="HA42"/>
      <c r="HB42"/>
      <c r="HC42"/>
      <c r="HD42"/>
      <c r="HE42"/>
      <c r="HF42"/>
      <c r="HG42"/>
      <c r="HH42"/>
      <c r="HI42"/>
      <c r="HJ42"/>
      <c r="HK42"/>
      <c r="HL42" s="1"/>
      <c r="HM42" s="1"/>
      <c r="HN42" s="1"/>
      <c r="HO42" s="1"/>
      <c r="HP42" s="1"/>
      <c r="HQ42" s="1"/>
      <c r="HR42" s="1"/>
      <c r="HS42" s="1"/>
      <c r="HT42" s="1">
        <v>8</v>
      </c>
      <c r="HU42" s="1"/>
      <c r="HV42" s="1"/>
      <c r="HW42" s="1">
        <v>6</v>
      </c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</row>
    <row r="43" spans="1:318" s="12" customFormat="1" ht="18" customHeight="1" x14ac:dyDescent="0.25">
      <c r="A43" s="14"/>
      <c r="B43" s="71"/>
      <c r="C43" s="1"/>
      <c r="D43" t="s">
        <v>172</v>
      </c>
      <c r="E43" s="1">
        <v>11291</v>
      </c>
      <c r="F43" s="1"/>
      <c r="G43"/>
      <c r="H43" s="1">
        <f>SUM(J43:LF43)</f>
        <v>46</v>
      </c>
      <c r="I43" s="14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/>
      <c r="DJ43"/>
      <c r="DK43"/>
      <c r="DL43">
        <v>0</v>
      </c>
      <c r="DM43">
        <v>1</v>
      </c>
      <c r="DN43"/>
      <c r="DO43"/>
      <c r="DP43"/>
      <c r="DQ43"/>
      <c r="DR43"/>
      <c r="DS43"/>
      <c r="DT43">
        <v>1</v>
      </c>
      <c r="DU43"/>
      <c r="DV43"/>
      <c r="DW43"/>
      <c r="DX43"/>
      <c r="DY43"/>
      <c r="DZ43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/>
      <c r="ER43"/>
      <c r="ES43"/>
      <c r="ET43">
        <v>1</v>
      </c>
      <c r="EU43">
        <v>1</v>
      </c>
      <c r="EV43"/>
      <c r="EW43"/>
      <c r="EX43"/>
      <c r="EY43"/>
      <c r="EZ43"/>
      <c r="FA43"/>
      <c r="FB43">
        <v>0</v>
      </c>
      <c r="FC43"/>
      <c r="FD43"/>
      <c r="FE43"/>
      <c r="FF43"/>
      <c r="FG43"/>
      <c r="FH43"/>
      <c r="FI43"/>
      <c r="FJ43"/>
      <c r="FK43"/>
      <c r="FL43" s="266"/>
      <c r="FM43"/>
      <c r="FN43"/>
      <c r="FO43" s="266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 s="266"/>
      <c r="GE43"/>
      <c r="GF43"/>
      <c r="GG43">
        <v>1</v>
      </c>
      <c r="GH43">
        <f>3+3</f>
        <v>6</v>
      </c>
      <c r="GI43"/>
      <c r="GJ43"/>
      <c r="GK43"/>
      <c r="GL43"/>
      <c r="GM43"/>
      <c r="GN43">
        <v>1</v>
      </c>
      <c r="GO43"/>
      <c r="GP43"/>
      <c r="GQ43"/>
      <c r="GR43"/>
      <c r="GS43"/>
      <c r="GT43"/>
      <c r="GU43"/>
      <c r="GV43"/>
      <c r="GW43">
        <v>2</v>
      </c>
      <c r="GX43"/>
      <c r="GY43">
        <f>2+2</f>
        <v>4</v>
      </c>
      <c r="GZ43"/>
      <c r="HA43"/>
      <c r="HB43"/>
      <c r="HC43"/>
      <c r="HD43"/>
      <c r="HE43"/>
      <c r="HF43"/>
      <c r="HG43"/>
      <c r="HH43"/>
      <c r="HI43"/>
      <c r="HJ43"/>
      <c r="HK43"/>
      <c r="HL43" s="1"/>
      <c r="HM43" s="1"/>
      <c r="HN43" s="1"/>
      <c r="HO43" s="1"/>
      <c r="HP43" s="1"/>
      <c r="HQ43" s="1"/>
      <c r="HR43" s="1"/>
      <c r="HS43" s="1"/>
      <c r="HT43" s="1"/>
      <c r="HU43" s="1">
        <v>1</v>
      </c>
      <c r="HV43" s="1"/>
      <c r="HW43" s="1"/>
      <c r="HX43" s="1">
        <v>2</v>
      </c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>
        <v>4</v>
      </c>
      <c r="IN43" s="1">
        <v>5</v>
      </c>
      <c r="IO43" s="1"/>
      <c r="IP43" s="1"/>
      <c r="IQ43" s="1"/>
      <c r="IR43" s="1"/>
      <c r="IS43" s="1">
        <v>5</v>
      </c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>
        <v>1</v>
      </c>
      <c r="JI43" s="1">
        <v>3</v>
      </c>
      <c r="JJ43" s="1"/>
      <c r="JK43" s="1"/>
      <c r="JL43" s="1"/>
      <c r="JM43" s="1"/>
      <c r="JN43" s="1">
        <v>4</v>
      </c>
      <c r="JO43" s="1"/>
      <c r="JP43" s="1"/>
      <c r="JQ43" s="1"/>
      <c r="JR43" s="1"/>
      <c r="JS43" s="1"/>
      <c r="JT43" s="1">
        <v>1</v>
      </c>
      <c r="JU43" s="1"/>
      <c r="JV43" s="1">
        <v>2</v>
      </c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</row>
    <row r="44" spans="1:318" s="12" customFormat="1" ht="18" customHeight="1" x14ac:dyDescent="0.3">
      <c r="A44" s="14">
        <v>13</v>
      </c>
      <c r="B44" s="54" t="s">
        <v>176</v>
      </c>
      <c r="C44" s="1">
        <v>2093</v>
      </c>
      <c r="D44" t="s">
        <v>177</v>
      </c>
      <c r="E44" s="1">
        <v>11114</v>
      </c>
      <c r="F44" s="1">
        <v>2015</v>
      </c>
      <c r="G44" t="s">
        <v>178</v>
      </c>
      <c r="H44" s="1">
        <f>SUM(J44:LF44)</f>
        <v>38.6</v>
      </c>
      <c r="I44" s="14">
        <f>SUM(H44:H45)</f>
        <v>66.599999999999994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>
        <v>0</v>
      </c>
      <c r="AZ44" s="1">
        <v>3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/>
      <c r="DJ44">
        <v>7</v>
      </c>
      <c r="DK44"/>
      <c r="DL44"/>
      <c r="DM44">
        <v>1</v>
      </c>
      <c r="DN44"/>
      <c r="DO44"/>
      <c r="DP44"/>
      <c r="DQ44"/>
      <c r="DR44">
        <v>6</v>
      </c>
      <c r="DS44"/>
      <c r="DT44">
        <v>0</v>
      </c>
      <c r="DU44"/>
      <c r="DV44"/>
      <c r="DW44"/>
      <c r="DX44"/>
      <c r="DY44"/>
      <c r="DZ44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/>
      <c r="ER44">
        <f>(0+4)*1.2</f>
        <v>4.8</v>
      </c>
      <c r="ES44"/>
      <c r="ET44"/>
      <c r="EU44">
        <v>0</v>
      </c>
      <c r="EV44"/>
      <c r="EW44"/>
      <c r="EX44"/>
      <c r="EY44"/>
      <c r="EZ44">
        <f>(0+4)*1.2</f>
        <v>4.8</v>
      </c>
      <c r="FA44"/>
      <c r="FB44">
        <v>0</v>
      </c>
      <c r="FC44"/>
      <c r="FD44"/>
      <c r="FE44"/>
      <c r="FF44"/>
      <c r="FG44"/>
      <c r="FH44" s="265">
        <f t="shared" ref="FH44:FI44" si="1">3+2</f>
        <v>5</v>
      </c>
      <c r="FI44" s="265">
        <f t="shared" si="1"/>
        <v>5</v>
      </c>
      <c r="FJ44"/>
      <c r="FK44"/>
      <c r="FL44" s="264"/>
      <c r="FM44"/>
      <c r="FN44"/>
      <c r="FO44" s="26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 s="264"/>
      <c r="GE44"/>
      <c r="GF44"/>
      <c r="GG44">
        <v>0</v>
      </c>
      <c r="GH44">
        <v>0</v>
      </c>
      <c r="GI44"/>
      <c r="GJ44"/>
      <c r="GK44"/>
      <c r="GL44"/>
      <c r="GM44"/>
      <c r="GN44"/>
      <c r="GO44"/>
      <c r="GP44">
        <v>2</v>
      </c>
      <c r="GQ44"/>
      <c r="GR44"/>
      <c r="GS44"/>
      <c r="GT44"/>
      <c r="GU44"/>
      <c r="GV44"/>
      <c r="GW44"/>
      <c r="GX44"/>
      <c r="GY44">
        <v>0</v>
      </c>
      <c r="GZ44"/>
      <c r="HA44"/>
      <c r="HB44"/>
      <c r="HC44"/>
      <c r="HD44"/>
      <c r="HE44"/>
      <c r="HF44"/>
      <c r="HG44"/>
      <c r="HH44"/>
      <c r="HI44"/>
      <c r="HJ44"/>
      <c r="HK44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</row>
    <row r="45" spans="1:318" s="12" customFormat="1" ht="18" customHeight="1" x14ac:dyDescent="0.3">
      <c r="A45" s="14"/>
      <c r="B45" s="71"/>
      <c r="C45" s="1"/>
      <c r="D45" t="s">
        <v>179</v>
      </c>
      <c r="E45" s="1">
        <v>11516</v>
      </c>
      <c r="F45" s="1">
        <v>2015</v>
      </c>
      <c r="G45"/>
      <c r="H45" s="1">
        <f>SUM(J45:LF45)</f>
        <v>28</v>
      </c>
      <c r="I45" s="14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269"/>
      <c r="FI45" s="269"/>
      <c r="FJ45" s="1"/>
      <c r="FK45" s="1"/>
      <c r="FL45" s="270"/>
      <c r="FM45" s="1"/>
      <c r="FN45" s="1"/>
      <c r="FO45" s="270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270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268"/>
      <c r="JT45" s="268">
        <v>0</v>
      </c>
      <c r="JU45" s="268">
        <f>3+8</f>
        <v>11</v>
      </c>
      <c r="JV45" s="1"/>
      <c r="JW45" s="1"/>
      <c r="JX45" s="1"/>
      <c r="JY45" s="1"/>
      <c r="JZ45" s="1"/>
      <c r="KA45" s="1"/>
      <c r="KB45" s="268"/>
      <c r="KC45" s="268"/>
      <c r="KD45" s="268"/>
      <c r="KE45" s="268"/>
      <c r="KF45" s="268"/>
      <c r="KG45" s="268">
        <f>3+6</f>
        <v>9</v>
      </c>
      <c r="KH45" s="268">
        <f>4+4</f>
        <v>8</v>
      </c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</row>
    <row r="46" spans="1:318" s="12" customFormat="1" ht="18" customHeight="1" x14ac:dyDescent="0.25">
      <c r="A46" s="14">
        <v>14</v>
      </c>
      <c r="B46" s="54" t="s">
        <v>173</v>
      </c>
      <c r="C46" s="1">
        <v>1742</v>
      </c>
      <c r="D46" s="301" t="s">
        <v>174</v>
      </c>
      <c r="E46" s="29">
        <v>11490</v>
      </c>
      <c r="F46" s="29">
        <v>2017</v>
      </c>
      <c r="G46" s="12" t="s">
        <v>146</v>
      </c>
      <c r="H46" s="1">
        <f>SUM(J46:LF46)</f>
        <v>64.400000000000006</v>
      </c>
      <c r="I46" s="14">
        <f>SUM(H46:H47)</f>
        <v>65.400000000000006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>
        <f>2+7</f>
        <v>9</v>
      </c>
      <c r="DJ46"/>
      <c r="DK46"/>
      <c r="DL46"/>
      <c r="DM46"/>
      <c r="DN46"/>
      <c r="DO46"/>
      <c r="DP46"/>
      <c r="DQ46">
        <v>5</v>
      </c>
      <c r="DR46"/>
      <c r="DS46"/>
      <c r="DT46"/>
      <c r="DU46"/>
      <c r="DV46"/>
      <c r="DW46"/>
      <c r="DX46"/>
      <c r="DY46"/>
      <c r="DZ46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>
        <f>(0+5)*1.2</f>
        <v>6</v>
      </c>
      <c r="ER46"/>
      <c r="ES46"/>
      <c r="ET46"/>
      <c r="EU46"/>
      <c r="EV46"/>
      <c r="EW46"/>
      <c r="EX46"/>
      <c r="EY46">
        <f>(2+5)*1.2</f>
        <v>8.4</v>
      </c>
      <c r="EZ46"/>
      <c r="FA46"/>
      <c r="FB46"/>
      <c r="FC46"/>
      <c r="FD46"/>
      <c r="FE46"/>
      <c r="FF46"/>
      <c r="FG46"/>
      <c r="FH46"/>
      <c r="FI46"/>
      <c r="FJ46"/>
      <c r="FK46"/>
      <c r="FL46" s="264"/>
      <c r="FM46"/>
      <c r="FN46"/>
      <c r="FO46" s="264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 s="264"/>
      <c r="GE46">
        <f>2+4</f>
        <v>6</v>
      </c>
      <c r="GF46"/>
      <c r="GG46"/>
      <c r="GH46"/>
      <c r="GI46"/>
      <c r="GJ46"/>
      <c r="GK46"/>
      <c r="GL46"/>
      <c r="GM46">
        <f>2+5</f>
        <v>7</v>
      </c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>
        <v>4</v>
      </c>
      <c r="JH46" s="1">
        <v>0</v>
      </c>
      <c r="JI46" s="1"/>
      <c r="JJ46" s="1"/>
      <c r="JK46" s="1"/>
      <c r="JL46" s="1"/>
      <c r="JM46" s="1">
        <v>5</v>
      </c>
      <c r="JN46" s="1"/>
      <c r="JO46" s="1"/>
      <c r="JP46" s="1"/>
      <c r="JQ46" s="1"/>
      <c r="JR46" s="1"/>
      <c r="JS46" s="1"/>
      <c r="JT46" s="1">
        <v>5</v>
      </c>
      <c r="JU46" s="1">
        <f>2+7</f>
        <v>9</v>
      </c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</row>
    <row r="47" spans="1:318" s="12" customFormat="1" ht="18" customHeight="1" x14ac:dyDescent="0.25">
      <c r="A47" s="14"/>
      <c r="B47" s="71"/>
      <c r="C47" s="1"/>
      <c r="D47" t="s">
        <v>175</v>
      </c>
      <c r="E47" s="1">
        <v>10808</v>
      </c>
      <c r="F47" s="1">
        <v>2012</v>
      </c>
      <c r="G47"/>
      <c r="H47" s="1">
        <f>SUM(J47:LF47)</f>
        <v>1</v>
      </c>
      <c r="I47" s="14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/>
      <c r="DJ47"/>
      <c r="DK47"/>
      <c r="DL47"/>
      <c r="DM47"/>
      <c r="DN47"/>
      <c r="DO47"/>
      <c r="DP47"/>
      <c r="DQ47"/>
      <c r="DR47"/>
      <c r="DS47"/>
      <c r="DT47"/>
      <c r="DU47">
        <f>1</f>
        <v>1</v>
      </c>
      <c r="DV47"/>
      <c r="DW47"/>
      <c r="DX47"/>
      <c r="DY47"/>
      <c r="DZ47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</row>
    <row r="48" spans="1:318" s="12" customFormat="1" ht="18" customHeight="1" x14ac:dyDescent="0.3">
      <c r="A48" s="14">
        <v>15</v>
      </c>
      <c r="B48" s="54" t="s">
        <v>187</v>
      </c>
      <c r="C48" s="1">
        <v>4112</v>
      </c>
      <c r="D48" t="s">
        <v>188</v>
      </c>
      <c r="E48" s="1">
        <v>9461</v>
      </c>
      <c r="F48" s="1">
        <v>2012</v>
      </c>
      <c r="G48" t="s">
        <v>178</v>
      </c>
      <c r="H48" s="1">
        <f>SUM(J48:LF48)</f>
        <v>24</v>
      </c>
      <c r="I48" s="14">
        <f>FG49+FH49+Tabuľka11[[#This Row],[Stĺpec153]]+Tabuľka11[[#This Row],[Stĺpec192]]+HI49+Tabuľka11[[#This Row],[Stĺpec182]]+HJ49+Tabuľka11[[#This Row],[Stĺpec321]]+KD49+KW49+Tabuľka11[[#This Row],[Stĺpec299]]+Tabuľka11[[#This Row],[Stĺpec281]]+LC49+Tabuľka11[[#This Row],[Stĺpec225]]+LE49</f>
        <v>60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>
        <v>0</v>
      </c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/>
      <c r="FH48"/>
      <c r="FI48" s="265">
        <v>0</v>
      </c>
      <c r="FJ48" s="265">
        <v>4</v>
      </c>
      <c r="FK48"/>
      <c r="FL48" s="264"/>
      <c r="FM48"/>
      <c r="FN48"/>
      <c r="FO48" s="264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 s="264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>
        <f>5+1</f>
        <v>6</v>
      </c>
      <c r="HJ48">
        <v>4</v>
      </c>
      <c r="HK48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>
        <v>1</v>
      </c>
      <c r="KE48" s="1"/>
      <c r="KF48" s="1"/>
      <c r="KG48" s="1"/>
      <c r="KH48" s="1">
        <v>0</v>
      </c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>
        <v>0</v>
      </c>
      <c r="KW48" s="1"/>
      <c r="KX48" s="1">
        <v>5</v>
      </c>
      <c r="KY48" s="1"/>
      <c r="KZ48" s="1"/>
      <c r="LA48" s="1"/>
      <c r="LB48" s="1">
        <v>2</v>
      </c>
      <c r="LC48" s="1"/>
      <c r="LD48" s="1"/>
      <c r="LE48" s="1">
        <v>2</v>
      </c>
      <c r="LF48" s="1"/>
    </row>
    <row r="49" spans="1:318" s="12" customFormat="1" ht="18" customHeight="1" x14ac:dyDescent="0.3">
      <c r="A49" s="14"/>
      <c r="B49" s="71"/>
      <c r="C49" s="1"/>
      <c r="D49" t="s">
        <v>189</v>
      </c>
      <c r="E49" s="1">
        <v>10639</v>
      </c>
      <c r="F49" s="1"/>
      <c r="G49"/>
      <c r="H49" s="1">
        <f>SUM(J49:LF49)</f>
        <v>38</v>
      </c>
      <c r="I49" s="14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265">
        <v>1</v>
      </c>
      <c r="FH49" s="265">
        <v>1</v>
      </c>
      <c r="FI49"/>
      <c r="FJ49"/>
      <c r="FK49"/>
      <c r="FL49" s="264"/>
      <c r="FM49"/>
      <c r="FN49"/>
      <c r="FO49" s="264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 s="264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>
        <f>4+1</f>
        <v>5</v>
      </c>
      <c r="HJ49">
        <f>5+2</f>
        <v>7</v>
      </c>
      <c r="HK49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>
        <v>1</v>
      </c>
      <c r="KE49" s="1"/>
      <c r="KF49" s="1"/>
      <c r="KG49" s="1"/>
      <c r="KH49" s="1">
        <v>1</v>
      </c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>
        <v>1</v>
      </c>
      <c r="KW49" s="1">
        <v>7</v>
      </c>
      <c r="KX49" s="1"/>
      <c r="KY49" s="1"/>
      <c r="KZ49" s="1"/>
      <c r="LA49" s="1"/>
      <c r="LB49" s="1"/>
      <c r="LC49" s="1">
        <v>9</v>
      </c>
      <c r="LD49" s="1"/>
      <c r="LE49" s="1">
        <v>5</v>
      </c>
      <c r="LF49" s="1"/>
    </row>
    <row r="50" spans="1:318" s="12" customFormat="1" ht="18" customHeight="1" x14ac:dyDescent="0.25">
      <c r="A50" s="14">
        <v>16</v>
      </c>
      <c r="B50" s="54" t="s">
        <v>180</v>
      </c>
      <c r="C50" s="1">
        <v>3848</v>
      </c>
      <c r="D50" t="s">
        <v>181</v>
      </c>
      <c r="E50" s="1">
        <v>10167</v>
      </c>
      <c r="F50" s="1"/>
      <c r="G50" t="s">
        <v>182</v>
      </c>
      <c r="H50" s="1">
        <f>SUM(J50:LF50)</f>
        <v>42</v>
      </c>
      <c r="I50" s="14">
        <f>H50</f>
        <v>42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268"/>
      <c r="FH50" s="268"/>
      <c r="FI50" s="268"/>
      <c r="FJ50" s="268"/>
      <c r="FK50" s="268"/>
      <c r="FL50" s="264"/>
      <c r="FM50" s="268"/>
      <c r="FN50" s="268"/>
      <c r="FO50" s="264"/>
      <c r="FP50" s="268"/>
      <c r="FQ50" s="268"/>
      <c r="FR50" s="268"/>
      <c r="FS50" s="268"/>
      <c r="FT50" s="268"/>
      <c r="FU50" s="268"/>
      <c r="FV50" s="268"/>
      <c r="FW50" s="268"/>
      <c r="FX50" s="268"/>
      <c r="FY50" s="268"/>
      <c r="FZ50" s="268"/>
      <c r="GA50" s="268"/>
      <c r="GB50" s="268"/>
      <c r="GC50" s="268"/>
      <c r="GD50" s="264"/>
      <c r="GE50" s="268"/>
      <c r="GF50" s="268"/>
      <c r="GG50" s="268"/>
      <c r="GH50" s="268"/>
      <c r="GI50" s="268">
        <f>5+6</f>
        <v>11</v>
      </c>
      <c r="GJ50" s="268"/>
      <c r="GK50" s="268"/>
      <c r="GL50" s="268"/>
      <c r="GM50" s="268"/>
      <c r="GN50" s="268"/>
      <c r="GO50" s="268"/>
      <c r="GP50" s="268"/>
      <c r="GQ50" s="268"/>
      <c r="GR50" s="268">
        <f>5+6</f>
        <v>11</v>
      </c>
      <c r="GS50" s="268"/>
      <c r="GT50" s="268"/>
      <c r="GU50" s="268"/>
      <c r="GV50" s="268"/>
      <c r="GW50" s="268"/>
      <c r="GX50" s="268"/>
      <c r="GY50" s="268"/>
      <c r="GZ50" s="268">
        <f>3+6</f>
        <v>9</v>
      </c>
      <c r="HA50" s="268"/>
      <c r="HB50" s="268"/>
      <c r="HC50" s="268"/>
      <c r="HD50" s="268"/>
      <c r="HE50" s="268"/>
      <c r="HF50" s="268"/>
      <c r="HG50" s="268"/>
      <c r="HH50" s="268"/>
      <c r="HI50" s="268"/>
      <c r="HJ50" s="268"/>
      <c r="HK50" s="268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>
        <v>11</v>
      </c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</row>
    <row r="51" spans="1:318" s="12" customFormat="1" ht="18" customHeight="1" x14ac:dyDescent="0.25">
      <c r="A51" s="14">
        <v>17</v>
      </c>
      <c r="B51" s="54" t="s">
        <v>183</v>
      </c>
      <c r="C51" s="1">
        <v>7998</v>
      </c>
      <c r="D51" s="105" t="s">
        <v>184</v>
      </c>
      <c r="E51" s="1">
        <v>10853</v>
      </c>
      <c r="F51" s="1">
        <v>2015</v>
      </c>
      <c r="G51" t="s">
        <v>137</v>
      </c>
      <c r="H51" s="1">
        <f>SUM(J51:LF51)</f>
        <v>27</v>
      </c>
      <c r="I51" s="14">
        <f>SUM(H51:H53)</f>
        <v>37</v>
      </c>
      <c r="J51" s="1"/>
      <c r="K51" s="1"/>
      <c r="L51" s="1">
        <v>3</v>
      </c>
      <c r="M51" s="1"/>
      <c r="N51" s="1">
        <f>3+1</f>
        <v>4</v>
      </c>
      <c r="O51" s="1"/>
      <c r="P51" s="1"/>
      <c r="Q51" s="1"/>
      <c r="R51" s="1"/>
      <c r="S51" s="1">
        <v>4</v>
      </c>
      <c r="T51" s="1"/>
      <c r="U51" s="1">
        <f>3+1</f>
        <v>4</v>
      </c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>
        <f>3+3</f>
        <v>6</v>
      </c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>
        <f>2+4</f>
        <v>6</v>
      </c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</row>
    <row r="52" spans="1:318" s="12" customFormat="1" ht="18" customHeight="1" x14ac:dyDescent="0.25">
      <c r="A52" s="14"/>
      <c r="B52" s="71"/>
      <c r="C52" s="11" t="s">
        <v>1</v>
      </c>
      <c r="D52" t="s">
        <v>185</v>
      </c>
      <c r="E52" s="1">
        <v>10989</v>
      </c>
      <c r="F52" s="1">
        <v>2015</v>
      </c>
      <c r="G52"/>
      <c r="H52" s="1">
        <f>SUM(J52:LF52)</f>
        <v>7</v>
      </c>
      <c r="I52" s="14"/>
      <c r="J52" s="1"/>
      <c r="K52" s="1"/>
      <c r="L52" s="1">
        <v>1</v>
      </c>
      <c r="M52" s="1"/>
      <c r="N52" s="1">
        <v>0</v>
      </c>
      <c r="O52" s="1"/>
      <c r="P52" s="1"/>
      <c r="Q52" s="1"/>
      <c r="R52" s="1"/>
      <c r="S52" s="1">
        <v>3</v>
      </c>
      <c r="T52" s="1"/>
      <c r="U52" s="1">
        <v>1</v>
      </c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>
        <f>1+1</f>
        <v>2</v>
      </c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</row>
    <row r="53" spans="1:318" s="12" customFormat="1" ht="18" customHeight="1" x14ac:dyDescent="0.25">
      <c r="A53" s="14"/>
      <c r="B53" s="71"/>
      <c r="C53" s="1"/>
      <c r="D53" s="106" t="s">
        <v>186</v>
      </c>
      <c r="E53" s="1">
        <v>11318</v>
      </c>
      <c r="F53" s="1">
        <v>2017</v>
      </c>
      <c r="G53"/>
      <c r="H53" s="1">
        <f>SUM(J53:LF53)</f>
        <v>3</v>
      </c>
      <c r="I53" s="14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>
        <v>2</v>
      </c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>
        <v>1</v>
      </c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</row>
    <row r="54" spans="1:318" s="12" customFormat="1" ht="18" customHeight="1" x14ac:dyDescent="0.25">
      <c r="A54" s="14">
        <v>18</v>
      </c>
      <c r="B54" s="54" t="s">
        <v>190</v>
      </c>
      <c r="C54" s="1"/>
      <c r="D54" t="s">
        <v>191</v>
      </c>
      <c r="E54" s="1">
        <v>10893</v>
      </c>
      <c r="F54" s="1">
        <v>2015</v>
      </c>
      <c r="G54" t="s">
        <v>192</v>
      </c>
      <c r="H54" s="1">
        <f>SUM(J54:LF54)</f>
        <v>26.6</v>
      </c>
      <c r="I54" s="14">
        <f>H54</f>
        <v>26.6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>
        <v>7</v>
      </c>
      <c r="BM54" s="1">
        <v>10</v>
      </c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>
        <v>4.8</v>
      </c>
      <c r="DZ54" s="1">
        <v>4.8</v>
      </c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</row>
    <row r="55" spans="1:318" ht="15.9" customHeight="1" x14ac:dyDescent="0.25">
      <c r="A55" s="14">
        <v>19</v>
      </c>
      <c r="B55" s="54" t="s">
        <v>193</v>
      </c>
      <c r="C55" s="1">
        <v>6122</v>
      </c>
      <c r="D55" t="s">
        <v>175</v>
      </c>
      <c r="E55" s="1">
        <v>10808</v>
      </c>
      <c r="F55" s="1">
        <v>2012</v>
      </c>
      <c r="G55" t="s">
        <v>194</v>
      </c>
      <c r="H55" s="1">
        <f>SUM(J55:LF55)</f>
        <v>23</v>
      </c>
      <c r="I55" s="14">
        <f>H55</f>
        <v>23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L55">
        <v>0</v>
      </c>
      <c r="DM55">
        <v>0</v>
      </c>
      <c r="DT55">
        <v>0</v>
      </c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T55">
        <v>0</v>
      </c>
      <c r="EU55">
        <v>0</v>
      </c>
      <c r="FB55">
        <f>0+1</f>
        <v>1</v>
      </c>
      <c r="FC55">
        <v>0</v>
      </c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>
        <v>4</v>
      </c>
      <c r="IK55" s="1">
        <v>5</v>
      </c>
      <c r="IL55" s="1"/>
      <c r="IM55" s="1">
        <v>5</v>
      </c>
      <c r="IN55" s="1">
        <v>1</v>
      </c>
      <c r="IO55" s="1"/>
      <c r="IP55" s="1"/>
      <c r="IQ55" s="1"/>
      <c r="IR55" s="1"/>
      <c r="IS55" s="1">
        <v>3</v>
      </c>
      <c r="IT55" s="1">
        <v>3</v>
      </c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268"/>
      <c r="JT55" s="268">
        <v>0</v>
      </c>
      <c r="JU55" s="268"/>
      <c r="JV55" s="268">
        <v>1</v>
      </c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</row>
    <row r="56" spans="1:318" s="12" customFormat="1" ht="18" customHeight="1" x14ac:dyDescent="0.25">
      <c r="A56" s="14">
        <v>20</v>
      </c>
      <c r="B56" s="54" t="s">
        <v>195</v>
      </c>
      <c r="C56" s="1"/>
      <c r="D56" t="s">
        <v>196</v>
      </c>
      <c r="E56" s="1">
        <v>9679</v>
      </c>
      <c r="F56" s="1">
        <v>2003</v>
      </c>
      <c r="G56" t="s">
        <v>197</v>
      </c>
      <c r="H56" s="1">
        <f>SUM(J56:LF56)</f>
        <v>20</v>
      </c>
      <c r="I56" s="14">
        <f>Tabuľka11[[#This Row],[Stĺpec8]]</f>
        <v>20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>
        <v>11</v>
      </c>
      <c r="BK56" s="1">
        <v>9</v>
      </c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</row>
    <row r="57" spans="1:318" s="12" customFormat="1" ht="18" customHeight="1" x14ac:dyDescent="0.25">
      <c r="A57" s="14"/>
      <c r="B57" s="54" t="s">
        <v>228</v>
      </c>
      <c r="C57" s="1">
        <v>2208</v>
      </c>
      <c r="D57" t="s">
        <v>229</v>
      </c>
      <c r="E57" s="1">
        <v>10715</v>
      </c>
      <c r="F57" s="1"/>
      <c r="G57" t="s">
        <v>218</v>
      </c>
      <c r="H57" s="1">
        <f>SUM(J57:LF57)</f>
        <v>2</v>
      </c>
      <c r="I57" s="14">
        <f>SUM(H57:H58)</f>
        <v>20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>
        <v>2</v>
      </c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</row>
    <row r="58" spans="1:318" s="12" customFormat="1" ht="18" customHeight="1" x14ac:dyDescent="0.25">
      <c r="A58" s="14"/>
      <c r="B58" s="71"/>
      <c r="C58" s="1"/>
      <c r="D58" s="264" t="s">
        <v>461</v>
      </c>
      <c r="E58" s="270">
        <v>10763</v>
      </c>
      <c r="F58" s="1"/>
      <c r="G58"/>
      <c r="H58" s="1">
        <f>SUM(J58:LF58)</f>
        <v>18</v>
      </c>
      <c r="I58" s="14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388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268"/>
      <c r="KC58" s="268"/>
      <c r="KD58" s="268"/>
      <c r="KE58" s="268">
        <f>6+2</f>
        <v>8</v>
      </c>
      <c r="KF58" s="268"/>
      <c r="KG58" s="268"/>
      <c r="KH58" s="268"/>
      <c r="KI58" s="387">
        <f>6+4</f>
        <v>10</v>
      </c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</row>
    <row r="59" spans="1:318" s="12" customFormat="1" ht="18" customHeight="1" x14ac:dyDescent="0.25">
      <c r="A59" s="14">
        <v>22</v>
      </c>
      <c r="B59" s="54" t="s">
        <v>213</v>
      </c>
      <c r="C59" s="1">
        <v>2443</v>
      </c>
      <c r="D59" s="4" t="s">
        <v>214</v>
      </c>
      <c r="E59" s="1">
        <v>10653</v>
      </c>
      <c r="F59" s="1">
        <v>2015</v>
      </c>
      <c r="G59" t="s">
        <v>215</v>
      </c>
      <c r="H59" s="1">
        <f>SUM(J59:LF59)</f>
        <v>17</v>
      </c>
      <c r="I59" s="14">
        <f>H59</f>
        <v>17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>
        <v>0</v>
      </c>
      <c r="AZ59" s="1">
        <v>0</v>
      </c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/>
      <c r="FH59"/>
      <c r="FI59"/>
      <c r="FJ59"/>
      <c r="FK59"/>
      <c r="FL59" s="264"/>
      <c r="FM59"/>
      <c r="FN59"/>
      <c r="FO59" s="264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 s="264"/>
      <c r="GE59"/>
      <c r="GF59"/>
      <c r="GG59"/>
      <c r="GH59">
        <v>0</v>
      </c>
      <c r="GI59">
        <v>0</v>
      </c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>
        <v>0</v>
      </c>
      <c r="IB59" s="1">
        <v>5</v>
      </c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268"/>
      <c r="KC59" s="268"/>
      <c r="KD59" s="268"/>
      <c r="KE59" s="268">
        <v>5</v>
      </c>
      <c r="KF59" s="268"/>
      <c r="KG59" s="268"/>
      <c r="KH59" s="268"/>
      <c r="KI59" s="387">
        <f>5+2</f>
        <v>7</v>
      </c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</row>
    <row r="60" spans="1:318" s="12" customFormat="1" ht="18" customHeight="1" x14ac:dyDescent="0.25">
      <c r="A60" s="14">
        <v>23</v>
      </c>
      <c r="B60" s="54" t="s">
        <v>239</v>
      </c>
      <c r="C60" s="1">
        <v>2857</v>
      </c>
      <c r="D60" s="4" t="s">
        <v>240</v>
      </c>
      <c r="E60" s="1">
        <v>7253</v>
      </c>
      <c r="F60" s="1"/>
      <c r="G60" t="s">
        <v>241</v>
      </c>
      <c r="H60" s="1">
        <f>SUM(J60:LF60)</f>
        <v>8</v>
      </c>
      <c r="I60" s="14">
        <f>SUM(H60:H61)</f>
        <v>11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>
        <v>0</v>
      </c>
      <c r="AZ60" s="1"/>
      <c r="BA60" s="1"/>
      <c r="BB60" s="1"/>
      <c r="BC60" s="1"/>
      <c r="BD60" s="1"/>
      <c r="BE60" s="1"/>
      <c r="BF60" s="1">
        <v>0</v>
      </c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>
        <v>4</v>
      </c>
      <c r="KF60" s="1"/>
      <c r="KG60" s="1"/>
      <c r="KH60" s="1"/>
      <c r="KI60" s="1">
        <v>4</v>
      </c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</row>
    <row r="61" spans="1:318" s="12" customFormat="1" ht="18" customHeight="1" x14ac:dyDescent="0.25">
      <c r="A61" s="14"/>
      <c r="B61" s="71"/>
      <c r="C61" s="1"/>
      <c r="D61" s="4" t="s">
        <v>242</v>
      </c>
      <c r="E61" s="1">
        <v>8029</v>
      </c>
      <c r="F61" s="1"/>
      <c r="G61"/>
      <c r="H61" s="1">
        <f>SUM(J61:LF61)</f>
        <v>3</v>
      </c>
      <c r="I61" s="14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>
        <v>0</v>
      </c>
      <c r="AZ61" s="1">
        <v>1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>
        <v>2</v>
      </c>
      <c r="LE61" s="1">
        <v>0</v>
      </c>
      <c r="LF61" s="1"/>
    </row>
    <row r="62" spans="1:318" s="12" customFormat="1" ht="18" customHeight="1" x14ac:dyDescent="0.25">
      <c r="A62" s="14"/>
      <c r="B62" s="54" t="s">
        <v>198</v>
      </c>
      <c r="C62" s="1">
        <v>5794</v>
      </c>
      <c r="D62" t="s">
        <v>199</v>
      </c>
      <c r="E62" s="1">
        <v>9909</v>
      </c>
      <c r="F62" s="1">
        <v>2013</v>
      </c>
      <c r="G62" t="s">
        <v>200</v>
      </c>
      <c r="H62" s="1">
        <f>SUM(J62:LF62)</f>
        <v>11</v>
      </c>
      <c r="I62" s="14">
        <f>H62</f>
        <v>11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/>
      <c r="DJ62"/>
      <c r="DK62"/>
      <c r="DL62">
        <v>0</v>
      </c>
      <c r="DM62">
        <v>1</v>
      </c>
      <c r="DN62"/>
      <c r="DO62"/>
      <c r="DP62"/>
      <c r="DQ62"/>
      <c r="DR62"/>
      <c r="DS62"/>
      <c r="DT62">
        <v>2</v>
      </c>
      <c r="DU62">
        <v>0</v>
      </c>
      <c r="DV62"/>
      <c r="DW62"/>
      <c r="DX62"/>
      <c r="DY62"/>
      <c r="DZ62"/>
      <c r="EA62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/>
      <c r="ER62"/>
      <c r="ES62"/>
      <c r="ET62">
        <v>0</v>
      </c>
      <c r="EU62">
        <v>0</v>
      </c>
      <c r="EV62"/>
      <c r="EW62"/>
      <c r="EX62"/>
      <c r="EY62"/>
      <c r="EZ62"/>
      <c r="FA62"/>
      <c r="FB62">
        <v>0</v>
      </c>
      <c r="FC62">
        <f>1+0</f>
        <v>1</v>
      </c>
      <c r="FD62"/>
      <c r="FE62"/>
      <c r="FF62"/>
      <c r="FG62"/>
      <c r="FH62"/>
      <c r="FI62">
        <v>2</v>
      </c>
      <c r="FJ62">
        <v>5</v>
      </c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</row>
    <row r="63" spans="1:318" s="12" customFormat="1" ht="18" customHeight="1" x14ac:dyDescent="0.25">
      <c r="A63" s="14">
        <v>25</v>
      </c>
      <c r="B63" s="54" t="s">
        <v>201</v>
      </c>
      <c r="C63" s="1">
        <v>2964</v>
      </c>
      <c r="D63" s="4" t="s">
        <v>202</v>
      </c>
      <c r="E63" s="1">
        <v>9915</v>
      </c>
      <c r="F63" s="1"/>
      <c r="G63" t="s">
        <v>203</v>
      </c>
      <c r="H63" s="1">
        <f>SUM(J63:LF63)</f>
        <v>10</v>
      </c>
      <c r="I63" s="14">
        <f>H63</f>
        <v>10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/>
      <c r="DJ63"/>
      <c r="DK63"/>
      <c r="DL63">
        <v>0</v>
      </c>
      <c r="DM63"/>
      <c r="DN63"/>
      <c r="DO63"/>
      <c r="DP63"/>
      <c r="DQ63"/>
      <c r="DR63"/>
      <c r="DS63"/>
      <c r="DT63">
        <v>1</v>
      </c>
      <c r="DU63"/>
      <c r="DV63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268"/>
      <c r="FH63" s="268"/>
      <c r="FI63" s="268"/>
      <c r="FJ63" s="268"/>
      <c r="FK63" s="268"/>
      <c r="FL63" s="264"/>
      <c r="FM63" s="268"/>
      <c r="FN63" s="268"/>
      <c r="FO63" s="264"/>
      <c r="FP63" s="268"/>
      <c r="FQ63" s="268"/>
      <c r="FR63" s="268"/>
      <c r="FS63" s="268"/>
      <c r="FT63" s="268"/>
      <c r="FU63" s="268"/>
      <c r="FV63" s="268"/>
      <c r="FW63" s="268"/>
      <c r="FX63" s="268"/>
      <c r="FY63" s="268"/>
      <c r="FZ63" s="268"/>
      <c r="GA63" s="268"/>
      <c r="GB63" s="268"/>
      <c r="GC63" s="268"/>
      <c r="GD63" s="264"/>
      <c r="GE63" s="268"/>
      <c r="GF63" s="268"/>
      <c r="GG63" s="268">
        <f>2</f>
        <v>2</v>
      </c>
      <c r="GH63" s="268"/>
      <c r="GI63" s="268"/>
      <c r="GJ63" s="268"/>
      <c r="GK63" s="268"/>
      <c r="GL63" s="268"/>
      <c r="GM63" s="268"/>
      <c r="GN63" s="268">
        <v>0</v>
      </c>
      <c r="GO63" s="268"/>
      <c r="GP63" s="268"/>
      <c r="GQ63" s="268"/>
      <c r="GR63" s="268"/>
      <c r="GS63" s="268"/>
      <c r="GT63" s="268"/>
      <c r="GU63" s="268"/>
      <c r="GV63" s="268"/>
      <c r="GW63" s="268">
        <f>3+4</f>
        <v>7</v>
      </c>
      <c r="GX63" s="268"/>
      <c r="GY63" s="268"/>
      <c r="GZ63" s="268"/>
      <c r="HA63" s="268"/>
      <c r="HB63" s="268"/>
      <c r="HC63" s="268"/>
      <c r="HD63" s="268"/>
      <c r="HE63" s="268"/>
      <c r="HF63" s="268"/>
      <c r="HG63" s="268"/>
      <c r="HH63" s="268"/>
      <c r="HI63" s="268"/>
      <c r="HJ63" s="268"/>
      <c r="HK63" s="268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</row>
    <row r="64" spans="1:318" s="12" customFormat="1" ht="18" customHeight="1" x14ac:dyDescent="0.25">
      <c r="A64" s="14"/>
      <c r="B64" s="54" t="s">
        <v>233</v>
      </c>
      <c r="C64" s="1">
        <v>2362</v>
      </c>
      <c r="D64" t="s">
        <v>234</v>
      </c>
      <c r="E64" s="1">
        <v>10553</v>
      </c>
      <c r="F64" s="1">
        <v>2014</v>
      </c>
      <c r="G64" t="s">
        <v>235</v>
      </c>
      <c r="H64" s="1">
        <f>SUM(J64:LF64)</f>
        <v>10</v>
      </c>
      <c r="I64" s="14">
        <f>H64</f>
        <v>10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>
        <v>2</v>
      </c>
      <c r="JW64" s="1"/>
      <c r="JX64" s="1"/>
      <c r="JY64" s="1"/>
      <c r="JZ64" s="1"/>
      <c r="KA64" s="1"/>
      <c r="KB64" s="268"/>
      <c r="KC64" s="268"/>
      <c r="KD64" s="268">
        <f>3+3</f>
        <v>6</v>
      </c>
      <c r="KE64" s="268"/>
      <c r="KF64" s="268"/>
      <c r="KG64" s="268"/>
      <c r="KH64" s="268">
        <f>0+2</f>
        <v>2</v>
      </c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</row>
    <row r="65" spans="1:318" s="12" customFormat="1" ht="18" customHeight="1" x14ac:dyDescent="0.25">
      <c r="A65" s="14">
        <v>27</v>
      </c>
      <c r="B65" s="54" t="s">
        <v>216</v>
      </c>
      <c r="C65" s="1">
        <v>8648</v>
      </c>
      <c r="D65" t="s">
        <v>217</v>
      </c>
      <c r="E65" s="1">
        <v>11123</v>
      </c>
      <c r="F65" s="1">
        <v>2015</v>
      </c>
      <c r="G65" t="s">
        <v>218</v>
      </c>
      <c r="H65" s="1">
        <f>SUM(J65:LF65)</f>
        <v>7</v>
      </c>
      <c r="I65" s="14">
        <f>H65</f>
        <v>7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>
        <f>2+2</f>
        <v>4</v>
      </c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268"/>
      <c r="KC65" s="268"/>
      <c r="KD65" s="268"/>
      <c r="KE65" s="268"/>
      <c r="KF65" s="268"/>
      <c r="KG65" s="268">
        <f>0+3</f>
        <v>3</v>
      </c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</row>
    <row r="66" spans="1:318" s="12" customFormat="1" ht="18" customHeight="1" x14ac:dyDescent="0.3">
      <c r="A66" s="14"/>
      <c r="B66" s="275" t="s">
        <v>246</v>
      </c>
      <c r="C66" s="270">
        <v>1784</v>
      </c>
      <c r="D66" s="264" t="s">
        <v>247</v>
      </c>
      <c r="E66" s="270">
        <v>10637</v>
      </c>
      <c r="F66"/>
      <c r="G66" s="264" t="s">
        <v>248</v>
      </c>
      <c r="H66" s="1">
        <f>SUM(J66:LF66)</f>
        <v>7</v>
      </c>
      <c r="I66" s="14">
        <f>H66</f>
        <v>7</v>
      </c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269"/>
      <c r="FH66" s="269"/>
      <c r="FI66" s="1"/>
      <c r="FJ66" s="1"/>
      <c r="FK66" s="1"/>
      <c r="FL66" s="270"/>
      <c r="FM66" s="1"/>
      <c r="FN66" s="1"/>
      <c r="FO66" s="270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270"/>
      <c r="GE66" s="1"/>
      <c r="GF66" s="1"/>
      <c r="GG66" s="1">
        <v>0</v>
      </c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>
        <v>1</v>
      </c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268"/>
      <c r="KC66" s="268"/>
      <c r="KD66" s="268"/>
      <c r="KE66" s="268"/>
      <c r="KF66" s="268"/>
      <c r="KG66" s="268">
        <f>1+5</f>
        <v>6</v>
      </c>
      <c r="KH66" s="268">
        <v>0</v>
      </c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</row>
    <row r="67" spans="1:318" s="12" customFormat="1" ht="18" customHeight="1" x14ac:dyDescent="0.25">
      <c r="A67" s="14">
        <v>29</v>
      </c>
      <c r="B67" s="54" t="s">
        <v>204</v>
      </c>
      <c r="C67" s="1">
        <v>5985</v>
      </c>
      <c r="D67" s="4" t="s">
        <v>205</v>
      </c>
      <c r="E67" s="1">
        <v>10515</v>
      </c>
      <c r="F67" s="1">
        <v>2013</v>
      </c>
      <c r="G67" t="s">
        <v>206</v>
      </c>
      <c r="H67" s="1">
        <f>SUM(J67:LF67)</f>
        <v>5</v>
      </c>
      <c r="I67" s="14">
        <f>SUM(H67:H68)</f>
        <v>6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274"/>
      <c r="FH67" s="274"/>
      <c r="FI67" s="274"/>
      <c r="FJ67" s="274"/>
      <c r="FK67" s="274"/>
      <c r="FL67" s="270"/>
      <c r="FM67" s="274"/>
      <c r="FN67" s="274"/>
      <c r="FO67" s="270"/>
      <c r="FP67" s="274"/>
      <c r="FQ67" s="274"/>
      <c r="FR67" s="274"/>
      <c r="FS67" s="274"/>
      <c r="FT67" s="274"/>
      <c r="FU67" s="274"/>
      <c r="FV67" s="274"/>
      <c r="FW67" s="274"/>
      <c r="FX67" s="274"/>
      <c r="FY67" s="274"/>
      <c r="FZ67" s="274"/>
      <c r="GA67" s="274"/>
      <c r="GB67" s="274"/>
      <c r="GC67" s="274"/>
      <c r="GD67" s="270"/>
      <c r="GE67" s="274"/>
      <c r="GF67" s="274"/>
      <c r="GG67" s="274"/>
      <c r="GH67" s="274"/>
      <c r="GI67" s="274"/>
      <c r="GJ67" s="274"/>
      <c r="GK67" s="274"/>
      <c r="GL67" s="274"/>
      <c r="GM67" s="274"/>
      <c r="GN67" s="274"/>
      <c r="GO67" s="274"/>
      <c r="GP67" s="274"/>
      <c r="GQ67" s="274"/>
      <c r="GR67" s="274"/>
      <c r="GS67" s="274"/>
      <c r="GT67" s="274"/>
      <c r="GU67" s="274"/>
      <c r="GV67" s="274"/>
      <c r="GW67" s="274"/>
      <c r="GX67" s="274"/>
      <c r="GY67" s="274"/>
      <c r="GZ67" s="274"/>
      <c r="HA67" s="274"/>
      <c r="HB67" s="274"/>
      <c r="HC67" s="274"/>
      <c r="HD67" s="274"/>
      <c r="HE67" s="274"/>
      <c r="HF67" s="274"/>
      <c r="HG67" s="274"/>
      <c r="HH67" s="274"/>
      <c r="HI67" s="274"/>
      <c r="HJ67" s="274"/>
      <c r="HK67" s="274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268">
        <v>2</v>
      </c>
      <c r="IK67" s="268">
        <v>0</v>
      </c>
      <c r="IL67" s="268"/>
      <c r="IM67" s="268">
        <f>0+3</f>
        <v>3</v>
      </c>
      <c r="IN67" s="268">
        <v>0</v>
      </c>
      <c r="IO67" s="268"/>
      <c r="IP67" s="268"/>
      <c r="IQ67" s="268"/>
      <c r="IR67" s="268"/>
      <c r="IS67" s="268">
        <v>0</v>
      </c>
      <c r="IT67" s="268"/>
      <c r="IU67" s="268"/>
      <c r="IV67" s="268"/>
      <c r="IW67" s="268"/>
      <c r="IX67" s="268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268"/>
      <c r="JT67" s="268">
        <v>0</v>
      </c>
      <c r="JU67" s="268"/>
      <c r="JV67" s="268">
        <v>0</v>
      </c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</row>
    <row r="68" spans="1:318" s="12" customFormat="1" ht="18" customHeight="1" x14ac:dyDescent="0.25">
      <c r="A68" s="14"/>
      <c r="B68" s="71"/>
      <c r="C68" s="1"/>
      <c r="D68" s="264" t="s">
        <v>207</v>
      </c>
      <c r="E68" s="270">
        <v>11392</v>
      </c>
      <c r="F68" s="302">
        <v>2014</v>
      </c>
      <c r="G68"/>
      <c r="H68" s="1">
        <f>SUM(J68:LF68)</f>
        <v>1</v>
      </c>
      <c r="I68" s="14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274"/>
      <c r="FH68" s="274"/>
      <c r="FI68" s="274"/>
      <c r="FJ68" s="274"/>
      <c r="FK68" s="274"/>
      <c r="FL68" s="270"/>
      <c r="FM68" s="274"/>
      <c r="FN68" s="274"/>
      <c r="FO68" s="270"/>
      <c r="FP68" s="274"/>
      <c r="FQ68" s="274"/>
      <c r="FR68" s="274"/>
      <c r="FS68" s="274"/>
      <c r="FT68" s="274"/>
      <c r="FU68" s="274"/>
      <c r="FV68" s="274"/>
      <c r="FW68" s="274"/>
      <c r="FX68" s="274"/>
      <c r="FY68" s="274"/>
      <c r="FZ68" s="274"/>
      <c r="GA68" s="274"/>
      <c r="GB68" s="274"/>
      <c r="GC68" s="274"/>
      <c r="GD68" s="270"/>
      <c r="GE68" s="274"/>
      <c r="GF68" s="274"/>
      <c r="GG68" s="274"/>
      <c r="GH68" s="274"/>
      <c r="GI68" s="274"/>
      <c r="GJ68" s="274"/>
      <c r="GK68" s="274"/>
      <c r="GL68" s="274"/>
      <c r="GM68" s="274"/>
      <c r="GN68" s="274"/>
      <c r="GO68" s="274"/>
      <c r="GP68" s="274"/>
      <c r="GQ68" s="274"/>
      <c r="GR68" s="274"/>
      <c r="GS68" s="274"/>
      <c r="GT68" s="274"/>
      <c r="GU68" s="274"/>
      <c r="GV68" s="274"/>
      <c r="GW68" s="274"/>
      <c r="GX68" s="274"/>
      <c r="GY68" s="274"/>
      <c r="GZ68" s="274"/>
      <c r="HA68" s="274"/>
      <c r="HB68" s="274"/>
      <c r="HC68" s="274"/>
      <c r="HD68" s="274"/>
      <c r="HE68" s="274"/>
      <c r="HF68" s="274"/>
      <c r="HG68" s="274"/>
      <c r="HH68" s="274"/>
      <c r="HI68" s="274"/>
      <c r="HJ68" s="274"/>
      <c r="HK68" s="274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274"/>
      <c r="IK68" s="274"/>
      <c r="IL68" s="274"/>
      <c r="IM68" s="274"/>
      <c r="IN68" s="274"/>
      <c r="IO68" s="274"/>
      <c r="IP68" s="274"/>
      <c r="IQ68" s="274"/>
      <c r="IR68" s="274"/>
      <c r="IS68" s="274"/>
      <c r="IT68" s="274"/>
      <c r="IU68" s="274"/>
      <c r="IV68" s="274"/>
      <c r="IW68" s="274"/>
      <c r="IX68" s="274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268"/>
      <c r="JT68" s="268"/>
      <c r="JU68" s="268"/>
      <c r="JV68" s="268">
        <v>1</v>
      </c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</row>
    <row r="69" spans="1:318" s="12" customFormat="1" ht="18" customHeight="1" x14ac:dyDescent="0.3">
      <c r="A69" s="14">
        <v>30</v>
      </c>
      <c r="B69" s="54" t="s">
        <v>208</v>
      </c>
      <c r="C69" s="1">
        <v>6753</v>
      </c>
      <c r="D69" s="4" t="s">
        <v>209</v>
      </c>
      <c r="E69" s="1">
        <v>11391</v>
      </c>
      <c r="F69" s="1">
        <v>2013</v>
      </c>
      <c r="G69" t="s">
        <v>206</v>
      </c>
      <c r="H69" s="1">
        <f>SUM(J69:LF69)</f>
        <v>3</v>
      </c>
      <c r="I69" s="14">
        <f>SUM(H69:H70)</f>
        <v>5</v>
      </c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271"/>
      <c r="FM69" s="1"/>
      <c r="FN69" s="1"/>
      <c r="FO69" s="271"/>
      <c r="FP69" s="272"/>
      <c r="FQ69" s="272"/>
      <c r="FR69" s="1"/>
      <c r="FS69" s="1"/>
      <c r="FT69" s="1"/>
      <c r="FU69" s="1"/>
      <c r="FV69" s="1"/>
      <c r="FW69" s="272"/>
      <c r="FX69" s="272"/>
      <c r="FY69" s="1"/>
      <c r="FZ69" s="1"/>
      <c r="GA69" s="1"/>
      <c r="GB69" s="1"/>
      <c r="GC69" s="1"/>
      <c r="GD69" s="27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268"/>
      <c r="IK69" s="268"/>
      <c r="IL69" s="268">
        <v>0</v>
      </c>
      <c r="IM69" s="268"/>
      <c r="IN69" s="268"/>
      <c r="IO69" s="268">
        <v>1</v>
      </c>
      <c r="IP69" s="268"/>
      <c r="IQ69" s="268"/>
      <c r="IR69" s="268"/>
      <c r="IS69" s="268"/>
      <c r="IT69" s="268"/>
      <c r="IU69" s="268"/>
      <c r="IV69" s="268">
        <v>2</v>
      </c>
      <c r="IW69" s="268"/>
      <c r="IX69" s="268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</row>
    <row r="70" spans="1:318" s="12" customFormat="1" ht="18" customHeight="1" x14ac:dyDescent="0.3">
      <c r="A70" s="14"/>
      <c r="B70" s="71"/>
      <c r="C70" s="1"/>
      <c r="D70" s="4" t="s">
        <v>210</v>
      </c>
      <c r="E70" s="1">
        <v>9855</v>
      </c>
      <c r="F70" s="1">
        <v>2011</v>
      </c>
      <c r="G70"/>
      <c r="H70" s="1">
        <f>SUM(J70:LF70)</f>
        <v>2</v>
      </c>
      <c r="I70" s="14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271"/>
      <c r="FM70" s="1"/>
      <c r="FN70" s="1"/>
      <c r="FO70" s="271"/>
      <c r="FP70" s="272"/>
      <c r="FQ70" s="272"/>
      <c r="FR70" s="1"/>
      <c r="FS70" s="1"/>
      <c r="FT70" s="1"/>
      <c r="FU70" s="1"/>
      <c r="FV70" s="1"/>
      <c r="FW70" s="272"/>
      <c r="FX70" s="272"/>
      <c r="FY70" s="1"/>
      <c r="FZ70" s="1"/>
      <c r="GA70" s="1"/>
      <c r="GB70" s="1"/>
      <c r="GC70" s="1"/>
      <c r="GD70" s="27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274"/>
      <c r="IK70" s="274"/>
      <c r="IL70" s="274"/>
      <c r="IM70" s="274"/>
      <c r="IN70" s="274"/>
      <c r="IO70" s="274"/>
      <c r="IP70" s="274"/>
      <c r="IQ70" s="274"/>
      <c r="IR70" s="274"/>
      <c r="IS70" s="274"/>
      <c r="IT70" s="274"/>
      <c r="IU70" s="274"/>
      <c r="IV70" s="274"/>
      <c r="IW70" s="274"/>
      <c r="IX70" s="274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268"/>
      <c r="JT70" s="268"/>
      <c r="JU70" s="268"/>
      <c r="JV70" s="268"/>
      <c r="JW70" s="268">
        <v>2</v>
      </c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</row>
    <row r="71" spans="1:318" ht="15.9" customHeight="1" x14ac:dyDescent="0.25">
      <c r="B71" s="54" t="s">
        <v>211</v>
      </c>
      <c r="C71" s="1">
        <v>5391</v>
      </c>
      <c r="D71" t="s">
        <v>212</v>
      </c>
      <c r="E71" s="1">
        <v>11319</v>
      </c>
      <c r="G71" t="s">
        <v>203</v>
      </c>
      <c r="H71" s="1">
        <f>SUM(J71:LF71)</f>
        <v>5</v>
      </c>
      <c r="I71" s="14">
        <f t="shared" ref="I71:I72" si="2">H71</f>
        <v>5</v>
      </c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L71">
        <v>0</v>
      </c>
      <c r="DM71">
        <v>0</v>
      </c>
      <c r="DT71">
        <f>2+3</f>
        <v>5</v>
      </c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</row>
    <row r="72" spans="1:318" ht="15.9" customHeight="1" x14ac:dyDescent="0.25">
      <c r="B72" s="54" t="s">
        <v>462</v>
      </c>
      <c r="C72" s="1">
        <v>1816</v>
      </c>
      <c r="D72" t="s">
        <v>463</v>
      </c>
      <c r="E72" s="1">
        <v>11650</v>
      </c>
      <c r="G72" t="s">
        <v>464</v>
      </c>
      <c r="H72" s="1">
        <f>SUM(J72:LF72)</f>
        <v>5</v>
      </c>
      <c r="I72" s="14">
        <f t="shared" si="2"/>
        <v>5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388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268">
        <v>0</v>
      </c>
      <c r="KV72" s="268"/>
      <c r="KW72" s="268">
        <v>5</v>
      </c>
      <c r="KX72" s="1"/>
      <c r="KY72" s="1"/>
      <c r="KZ72" s="1"/>
      <c r="LA72" s="1"/>
      <c r="LB72" s="1"/>
      <c r="LC72" s="1"/>
      <c r="LD72" s="1"/>
      <c r="LE72" s="1"/>
      <c r="LF72" s="1"/>
    </row>
    <row r="73" spans="1:318" s="12" customFormat="1" ht="18" customHeight="1" x14ac:dyDescent="0.25">
      <c r="A73" s="14">
        <v>33</v>
      </c>
      <c r="B73" s="54" t="s">
        <v>219</v>
      </c>
      <c r="C73" s="1">
        <v>5267</v>
      </c>
      <c r="D73" t="s">
        <v>220</v>
      </c>
      <c r="E73" s="1">
        <v>10119</v>
      </c>
      <c r="F73" s="1">
        <v>2013</v>
      </c>
      <c r="G73" t="s">
        <v>221</v>
      </c>
      <c r="H73" s="1">
        <f>SUM(J73:LF73)</f>
        <v>4</v>
      </c>
      <c r="I73" s="14">
        <f t="shared" ref="I73" si="3">H73</f>
        <v>4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>
        <v>4</v>
      </c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>
        <v>0</v>
      </c>
      <c r="GZ73" s="1">
        <v>0</v>
      </c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</row>
    <row r="74" spans="1:318" s="12" customFormat="1" ht="18" customHeight="1" x14ac:dyDescent="0.3">
      <c r="A74" s="14">
        <v>34</v>
      </c>
      <c r="B74" s="54" t="s">
        <v>222</v>
      </c>
      <c r="C74" s="1">
        <v>6801</v>
      </c>
      <c r="D74" s="4" t="s">
        <v>223</v>
      </c>
      <c r="E74" s="1">
        <v>10756</v>
      </c>
      <c r="F74" s="1">
        <v>2012</v>
      </c>
      <c r="G74" t="s">
        <v>224</v>
      </c>
      <c r="H74" s="1">
        <f>SUM(J74:LF74)</f>
        <v>3</v>
      </c>
      <c r="I74" s="14">
        <f>H74</f>
        <v>3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>
        <v>0</v>
      </c>
      <c r="CL74" s="1"/>
      <c r="CM74" s="1">
        <v>0</v>
      </c>
      <c r="CN74" s="1"/>
      <c r="CO74" s="1"/>
      <c r="CP74" s="1"/>
      <c r="CQ74" s="1">
        <v>0</v>
      </c>
      <c r="CR74" s="1"/>
      <c r="CS74" s="1">
        <v>0</v>
      </c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/>
      <c r="FH74"/>
      <c r="FI74"/>
      <c r="FJ74"/>
      <c r="FK74"/>
      <c r="FL74" s="266"/>
      <c r="FM74"/>
      <c r="FN74"/>
      <c r="FO74" s="266"/>
      <c r="FP74" s="267">
        <v>0</v>
      </c>
      <c r="FQ74" s="267">
        <v>0</v>
      </c>
      <c r="FR74"/>
      <c r="FS74"/>
      <c r="FT74"/>
      <c r="FU74"/>
      <c r="FV74"/>
      <c r="FW74" s="267">
        <v>1</v>
      </c>
      <c r="FX74" s="267">
        <v>2</v>
      </c>
      <c r="FY74"/>
      <c r="FZ74"/>
      <c r="GA74"/>
      <c r="GB74"/>
      <c r="GC74"/>
      <c r="GD74" s="266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</row>
    <row r="75" spans="1:318" s="12" customFormat="1" ht="18" customHeight="1" x14ac:dyDescent="0.25">
      <c r="A75" s="14"/>
      <c r="B75" s="54" t="s">
        <v>225</v>
      </c>
      <c r="C75" s="1">
        <v>5439</v>
      </c>
      <c r="D75" s="4" t="s">
        <v>226</v>
      </c>
      <c r="E75" s="1">
        <v>8743</v>
      </c>
      <c r="F75" s="1">
        <v>2008</v>
      </c>
      <c r="G75" t="s">
        <v>227</v>
      </c>
      <c r="H75" s="1">
        <f>SUM(J75:LF75)</f>
        <v>3</v>
      </c>
      <c r="I75" s="14">
        <f>SUM(H75:H75)</f>
        <v>3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/>
      <c r="FH75"/>
      <c r="FI75">
        <v>0</v>
      </c>
      <c r="FJ75">
        <v>3</v>
      </c>
      <c r="FK75"/>
      <c r="FL75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</row>
    <row r="76" spans="1:318" s="12" customFormat="1" ht="18" customHeight="1" x14ac:dyDescent="0.3">
      <c r="A76" s="14">
        <v>36</v>
      </c>
      <c r="B76" s="54" t="s">
        <v>230</v>
      </c>
      <c r="C76" s="1">
        <v>4969</v>
      </c>
      <c r="D76" t="s">
        <v>231</v>
      </c>
      <c r="E76" s="1">
        <v>10112</v>
      </c>
      <c r="F76" s="1">
        <v>2013</v>
      </c>
      <c r="G76" t="s">
        <v>232</v>
      </c>
      <c r="H76" s="1">
        <f>SUM(J76:LF76)</f>
        <v>2</v>
      </c>
      <c r="I76" s="14">
        <f>H76</f>
        <v>2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269"/>
      <c r="FH76" s="269"/>
      <c r="FI76" s="1"/>
      <c r="FJ76" s="1"/>
      <c r="FK76" s="1"/>
      <c r="FL76" s="270"/>
      <c r="FM76" s="1"/>
      <c r="FN76" s="1"/>
      <c r="FO76" s="270"/>
      <c r="FP76" s="264">
        <v>0</v>
      </c>
      <c r="FQ76" s="264">
        <v>0</v>
      </c>
      <c r="FR76" s="268"/>
      <c r="FS76" s="268"/>
      <c r="FT76" s="268"/>
      <c r="FU76" s="268"/>
      <c r="FV76" s="268"/>
      <c r="FW76" s="264">
        <v>2</v>
      </c>
      <c r="FX76" s="268"/>
      <c r="FY76" s="268"/>
      <c r="FZ76" s="268"/>
      <c r="GA76" s="268"/>
      <c r="GB76" s="268"/>
      <c r="GC76" s="268"/>
      <c r="GD76" s="264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268"/>
      <c r="JH76" s="268"/>
      <c r="JI76" s="268">
        <v>0</v>
      </c>
      <c r="JJ76" s="268"/>
      <c r="JK76" s="268"/>
      <c r="JL76" s="268"/>
      <c r="JM76" s="268"/>
      <c r="JN76" s="268">
        <v>0</v>
      </c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</row>
    <row r="77" spans="1:318" s="12" customFormat="1" ht="18" customHeight="1" x14ac:dyDescent="0.3">
      <c r="A77" s="14">
        <v>37</v>
      </c>
      <c r="B77" s="54" t="s">
        <v>236</v>
      </c>
      <c r="C77" s="1">
        <v>3702</v>
      </c>
      <c r="D77" t="s">
        <v>237</v>
      </c>
      <c r="E77" s="1">
        <v>11316</v>
      </c>
      <c r="F77" s="1">
        <v>2014</v>
      </c>
      <c r="G77" t="s">
        <v>238</v>
      </c>
      <c r="H77" s="1">
        <f>SUM(J77:LF77)</f>
        <v>1</v>
      </c>
      <c r="I77" s="14">
        <f>H77</f>
        <v>1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269"/>
      <c r="FH77" s="269"/>
      <c r="FI77" s="1"/>
      <c r="FJ77" s="1"/>
      <c r="FK77" s="1"/>
      <c r="FL77" s="270"/>
      <c r="FM77" s="1"/>
      <c r="FN77" s="1"/>
      <c r="FO77" s="270"/>
      <c r="FP77" s="1">
        <v>1</v>
      </c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270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</row>
    <row r="78" spans="1:318" s="12" customFormat="1" ht="18" customHeight="1" x14ac:dyDescent="0.25">
      <c r="A78" s="14"/>
      <c r="B78" s="54" t="s">
        <v>243</v>
      </c>
      <c r="C78" s="1">
        <v>3617</v>
      </c>
      <c r="D78" t="s">
        <v>244</v>
      </c>
      <c r="E78" s="1">
        <v>11470</v>
      </c>
      <c r="F78" s="1">
        <v>2017</v>
      </c>
      <c r="G78" t="s">
        <v>245</v>
      </c>
      <c r="H78" s="1">
        <f>SUM(J78:LF78)</f>
        <v>1</v>
      </c>
      <c r="I78" s="14">
        <f t="shared" ref="I78:I85" si="4">H78</f>
        <v>1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>
        <v>1</v>
      </c>
      <c r="ER78"/>
      <c r="ES78"/>
      <c r="ET78">
        <v>0</v>
      </c>
      <c r="EU78"/>
      <c r="EV78"/>
      <c r="EW78"/>
      <c r="EX78"/>
      <c r="EY78">
        <v>0</v>
      </c>
      <c r="EZ78"/>
      <c r="FA78"/>
      <c r="FB78"/>
      <c r="FC78"/>
      <c r="FD78"/>
      <c r="FE78"/>
      <c r="FF78" s="1"/>
      <c r="FG78" s="268"/>
      <c r="FH78" s="268"/>
      <c r="FI78" s="268"/>
      <c r="FJ78" s="268"/>
      <c r="FK78" s="268"/>
      <c r="FL78" s="264"/>
      <c r="FM78" s="268"/>
      <c r="FN78" s="268"/>
      <c r="FO78" s="264"/>
      <c r="FP78" s="268"/>
      <c r="FQ78" s="268"/>
      <c r="FR78" s="268"/>
      <c r="FS78" s="268"/>
      <c r="FT78" s="268"/>
      <c r="FU78" s="268"/>
      <c r="FV78" s="268"/>
      <c r="FW78" s="268"/>
      <c r="FX78" s="268"/>
      <c r="FY78" s="268"/>
      <c r="FZ78" s="268"/>
      <c r="GA78" s="268"/>
      <c r="GB78" s="268"/>
      <c r="GC78" s="268"/>
      <c r="GD78" s="264"/>
      <c r="GE78" s="268">
        <v>0</v>
      </c>
      <c r="GF78" s="268"/>
      <c r="GG78" s="268">
        <v>0</v>
      </c>
      <c r="GH78" s="268"/>
      <c r="GI78" s="268"/>
      <c r="GJ78" s="268"/>
      <c r="GK78" s="268"/>
      <c r="GL78" s="268"/>
      <c r="GM78" s="268">
        <v>0</v>
      </c>
      <c r="GN78" s="268"/>
      <c r="GO78" s="268"/>
      <c r="GP78" s="268"/>
      <c r="GQ78" s="268"/>
      <c r="GR78" s="268"/>
      <c r="GS78" s="268"/>
      <c r="GT78" s="268"/>
      <c r="GU78" s="268"/>
      <c r="GV78" s="268">
        <v>0</v>
      </c>
      <c r="GW78" s="268">
        <v>0</v>
      </c>
      <c r="GX78" s="268"/>
      <c r="GY78" s="268"/>
      <c r="GZ78" s="268"/>
      <c r="HA78" s="268"/>
      <c r="HB78" s="268"/>
      <c r="HC78" s="268"/>
      <c r="HD78" s="268"/>
      <c r="HE78" s="268"/>
      <c r="HF78" s="268"/>
      <c r="HG78" s="268"/>
      <c r="HH78" s="268"/>
      <c r="HI78" s="268"/>
      <c r="HJ78" s="268"/>
      <c r="HK78" s="268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</row>
    <row r="79" spans="1:318" s="12" customFormat="1" ht="18" customHeight="1" x14ac:dyDescent="0.25">
      <c r="A79" s="14"/>
      <c r="B79" s="54" t="s">
        <v>257</v>
      </c>
      <c r="C79" s="1">
        <v>5795</v>
      </c>
      <c r="D79" t="s">
        <v>258</v>
      </c>
      <c r="E79" s="1">
        <v>9077</v>
      </c>
      <c r="F79" s="1"/>
      <c r="G79" t="s">
        <v>221</v>
      </c>
      <c r="H79" s="1">
        <f>SUM(J79:LF79)</f>
        <v>1</v>
      </c>
      <c r="I79" s="14">
        <f>H79</f>
        <v>1</v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>
        <v>0</v>
      </c>
      <c r="GX79" s="1"/>
      <c r="GY79" s="1">
        <v>0</v>
      </c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268"/>
      <c r="KC79" s="268">
        <v>0</v>
      </c>
      <c r="KD79" s="268"/>
      <c r="KE79" s="268"/>
      <c r="KF79" s="268"/>
      <c r="KG79" s="268">
        <f>0+1</f>
        <v>1</v>
      </c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</row>
    <row r="80" spans="1:318" s="12" customFormat="1" ht="18" customHeight="1" x14ac:dyDescent="0.25">
      <c r="A80" s="14"/>
      <c r="B80" s="54" t="s">
        <v>249</v>
      </c>
      <c r="C80" s="1">
        <v>8770</v>
      </c>
      <c r="D80" t="s">
        <v>250</v>
      </c>
      <c r="E80" s="1">
        <v>11274</v>
      </c>
      <c r="F80" s="1">
        <v>2015</v>
      </c>
      <c r="G80" t="s">
        <v>251</v>
      </c>
      <c r="H80" s="1">
        <f>SUM(J80:LF80)</f>
        <v>1</v>
      </c>
      <c r="I80" s="14">
        <f>H80</f>
        <v>1</v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268"/>
      <c r="JT80" s="268">
        <v>0</v>
      </c>
      <c r="JU80" s="268">
        <v>1</v>
      </c>
      <c r="JV80" s="268"/>
      <c r="JW80" s="268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</row>
    <row r="81" spans="1:318" s="12" customFormat="1" ht="18" customHeight="1" x14ac:dyDescent="0.25">
      <c r="A81" s="14"/>
      <c r="B81" s="54" t="s">
        <v>252</v>
      </c>
      <c r="C81" s="1" t="s">
        <v>253</v>
      </c>
      <c r="D81" t="s">
        <v>254</v>
      </c>
      <c r="E81" s="1">
        <v>11191</v>
      </c>
      <c r="F81" s="1">
        <v>2015</v>
      </c>
      <c r="G81" t="s">
        <v>206</v>
      </c>
      <c r="H81" s="1">
        <f>SUM(J81:LF81)</f>
        <v>1</v>
      </c>
      <c r="I81" s="14">
        <f>H81</f>
        <v>1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268"/>
      <c r="JT81" s="268">
        <v>0</v>
      </c>
      <c r="JU81" s="268">
        <v>1</v>
      </c>
      <c r="JV81" s="268"/>
      <c r="JW81" s="268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</row>
    <row r="82" spans="1:318" s="12" customFormat="1" ht="18" customHeight="1" x14ac:dyDescent="0.25">
      <c r="A82" s="14">
        <v>42</v>
      </c>
      <c r="B82" s="54" t="s">
        <v>255</v>
      </c>
      <c r="C82" s="1">
        <v>4911</v>
      </c>
      <c r="D82" t="s">
        <v>256</v>
      </c>
      <c r="E82" s="1">
        <v>11112</v>
      </c>
      <c r="F82" s="1"/>
      <c r="G82" t="s">
        <v>241</v>
      </c>
      <c r="H82" s="1">
        <f>SUM(J82:LF82)</f>
        <v>0</v>
      </c>
      <c r="I82" s="14">
        <f t="shared" si="4"/>
        <v>0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268"/>
      <c r="FH82" s="268"/>
      <c r="FI82" s="268"/>
      <c r="FJ82" s="268"/>
      <c r="FK82" s="268"/>
      <c r="FL82" s="264"/>
      <c r="FM82" s="268"/>
      <c r="FN82" s="268"/>
      <c r="FO82" s="264"/>
      <c r="FP82" s="268"/>
      <c r="FQ82" s="268"/>
      <c r="FR82" s="268"/>
      <c r="FS82" s="268"/>
      <c r="FT82" s="268"/>
      <c r="FU82" s="268"/>
      <c r="FV82" s="268"/>
      <c r="FW82" s="268"/>
      <c r="FX82" s="268"/>
      <c r="FY82" s="268"/>
      <c r="FZ82" s="268"/>
      <c r="GA82" s="268"/>
      <c r="GB82" s="268"/>
      <c r="GC82" s="268"/>
      <c r="GD82" s="264"/>
      <c r="GE82" s="268">
        <v>0</v>
      </c>
      <c r="GF82" s="268"/>
      <c r="GG82" s="268">
        <v>0</v>
      </c>
      <c r="GH82" s="268"/>
      <c r="GI82" s="268"/>
      <c r="GJ82" s="268"/>
      <c r="GK82" s="268"/>
      <c r="GL82" s="268"/>
      <c r="GM82" s="268"/>
      <c r="GN82" s="268"/>
      <c r="GO82" s="268"/>
      <c r="GP82" s="268"/>
      <c r="GQ82" s="268"/>
      <c r="GR82" s="268"/>
      <c r="GS82" s="268"/>
      <c r="GT82" s="268"/>
      <c r="GU82" s="268"/>
      <c r="GV82" s="268"/>
      <c r="GW82" s="268"/>
      <c r="GX82" s="268"/>
      <c r="GY82" s="268"/>
      <c r="GZ82" s="268"/>
      <c r="HA82" s="268"/>
      <c r="HB82" s="268"/>
      <c r="HC82" s="268"/>
      <c r="HD82" s="268"/>
      <c r="HE82" s="268"/>
      <c r="HF82" s="268"/>
      <c r="HG82" s="268"/>
      <c r="HH82" s="268"/>
      <c r="HI82" s="268"/>
      <c r="HJ82" s="268"/>
      <c r="HK82" s="268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</row>
    <row r="83" spans="1:318" s="12" customFormat="1" ht="18" customHeight="1" x14ac:dyDescent="0.25">
      <c r="A83" s="14"/>
      <c r="B83" s="54" t="s">
        <v>249</v>
      </c>
      <c r="C83" s="1">
        <v>8770</v>
      </c>
      <c r="D83" t="s">
        <v>259</v>
      </c>
      <c r="E83" s="1">
        <v>11171</v>
      </c>
      <c r="F83" s="1">
        <v>2015</v>
      </c>
      <c r="G83"/>
      <c r="H83" s="1">
        <f>SUM(J83:LF83)</f>
        <v>0</v>
      </c>
      <c r="I83" s="14">
        <f t="shared" ref="I83" si="5">H83</f>
        <v>0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268"/>
      <c r="JT83" s="268"/>
      <c r="JU83" s="268">
        <v>0</v>
      </c>
      <c r="JV83" s="268">
        <v>0</v>
      </c>
      <c r="JW83" s="268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</row>
    <row r="84" spans="1:318" ht="15.9" customHeight="1" x14ac:dyDescent="0.25">
      <c r="B84" s="54" t="s">
        <v>260</v>
      </c>
      <c r="C84" s="1">
        <v>5712</v>
      </c>
      <c r="D84" t="s">
        <v>261</v>
      </c>
      <c r="E84" s="1">
        <v>8340</v>
      </c>
      <c r="G84" t="s">
        <v>203</v>
      </c>
      <c r="H84" s="1">
        <f>SUM(J84:LF84)</f>
        <v>0</v>
      </c>
      <c r="I84" s="14">
        <f>H84</f>
        <v>0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264"/>
      <c r="FH84" s="264"/>
      <c r="FI84" s="264"/>
      <c r="FJ84" s="264"/>
      <c r="FK84" s="264"/>
      <c r="FL84" s="264"/>
      <c r="FM84" s="264"/>
      <c r="FN84" s="264"/>
      <c r="FO84" s="264"/>
      <c r="FP84" s="264"/>
      <c r="FQ84" s="264"/>
      <c r="FR84" s="264"/>
      <c r="FS84" s="264"/>
      <c r="FT84" s="264"/>
      <c r="FU84" s="264"/>
      <c r="FV84" s="264"/>
      <c r="FW84" s="264"/>
      <c r="FX84" s="264"/>
      <c r="FY84" s="264"/>
      <c r="FZ84" s="264"/>
      <c r="GA84" s="264"/>
      <c r="GB84" s="264"/>
      <c r="GC84" s="264"/>
      <c r="GD84" s="264"/>
      <c r="GE84" s="268"/>
      <c r="GF84" s="268"/>
      <c r="GG84" s="268">
        <v>0</v>
      </c>
      <c r="GH84" s="268">
        <v>0</v>
      </c>
      <c r="GI84" s="268"/>
      <c r="GJ84" s="268"/>
      <c r="GK84" s="268"/>
      <c r="GL84" s="268"/>
      <c r="GM84" s="268"/>
      <c r="GN84" s="268">
        <v>0</v>
      </c>
      <c r="GO84" s="268"/>
      <c r="GP84" s="268">
        <v>0</v>
      </c>
      <c r="GQ84" s="268"/>
      <c r="GR84" s="268"/>
      <c r="GS84" s="268"/>
      <c r="GT84" s="268"/>
      <c r="GU84" s="268"/>
      <c r="GV84" s="268"/>
      <c r="GW84" s="268">
        <v>0</v>
      </c>
      <c r="GX84" s="268"/>
      <c r="GY84" s="268">
        <v>0</v>
      </c>
      <c r="GZ84" s="268"/>
      <c r="HA84" s="268"/>
      <c r="HB84" s="268"/>
      <c r="HC84" s="268"/>
      <c r="HD84" s="268"/>
      <c r="HE84" s="268"/>
      <c r="HF84" s="268"/>
      <c r="HG84" s="268"/>
      <c r="HH84" s="268"/>
      <c r="HI84" s="268"/>
      <c r="HJ84" s="268"/>
      <c r="HK84" s="268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</row>
    <row r="85" spans="1:318" s="12" customFormat="1" ht="18" customHeight="1" x14ac:dyDescent="0.25">
      <c r="A85" s="14"/>
      <c r="B85" s="54" t="s">
        <v>262</v>
      </c>
      <c r="C85" s="1">
        <v>3057</v>
      </c>
      <c r="D85" t="s">
        <v>263</v>
      </c>
      <c r="E85" s="1">
        <v>9969</v>
      </c>
      <c r="F85" s="1">
        <v>2013</v>
      </c>
      <c r="G85" t="s">
        <v>264</v>
      </c>
      <c r="H85" s="304">
        <f>SUM(J85:LF85)</f>
        <v>0</v>
      </c>
      <c r="I85" s="14">
        <f t="shared" si="4"/>
        <v>0</v>
      </c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>
        <v>0</v>
      </c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</row>
    <row r="86" spans="1:318" s="243" customFormat="1" ht="18" customHeight="1" x14ac:dyDescent="0.25">
      <c r="A86" s="238">
        <v>45</v>
      </c>
      <c r="B86" s="239" t="s">
        <v>265</v>
      </c>
      <c r="C86" s="240"/>
      <c r="D86" s="241"/>
      <c r="E86" s="240"/>
      <c r="F86" s="240"/>
      <c r="G86" s="242"/>
      <c r="H86" s="1">
        <f>SUM(J86:LF86)</f>
        <v>0</v>
      </c>
      <c r="I86" s="238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  <c r="AA86" s="240"/>
      <c r="AB86" s="240"/>
      <c r="AC86" s="240"/>
      <c r="AD86" s="240"/>
      <c r="AE86" s="240"/>
      <c r="AF86" s="240"/>
      <c r="AG86" s="240"/>
      <c r="AH86" s="240"/>
      <c r="AI86" s="240"/>
      <c r="AJ86" s="240"/>
      <c r="AK86" s="240"/>
      <c r="AL86" s="240"/>
      <c r="AM86" s="240"/>
      <c r="AN86" s="240"/>
      <c r="AO86" s="240"/>
      <c r="AP86" s="240"/>
      <c r="AQ86" s="240"/>
      <c r="AR86" s="240"/>
      <c r="AS86" s="240"/>
      <c r="AT86" s="240"/>
      <c r="AU86" s="240"/>
      <c r="AV86" s="240"/>
      <c r="AW86" s="240"/>
      <c r="AX86" s="240"/>
      <c r="AY86" s="240"/>
      <c r="AZ86" s="240"/>
      <c r="BA86" s="240"/>
      <c r="BB86" s="240"/>
      <c r="BC86" s="240"/>
      <c r="BD86" s="240"/>
      <c r="BE86" s="240"/>
      <c r="BF86" s="240"/>
      <c r="BG86" s="240"/>
      <c r="BH86" s="240"/>
      <c r="BI86" s="240"/>
      <c r="BJ86" s="240"/>
      <c r="BK86" s="240"/>
      <c r="BL86" s="240"/>
      <c r="BM86" s="240"/>
      <c r="BN86" s="240"/>
      <c r="BO86" s="240"/>
      <c r="BP86" s="240"/>
      <c r="BQ86" s="240"/>
      <c r="BR86" s="240"/>
      <c r="BS86" s="240"/>
      <c r="BT86" s="240"/>
      <c r="BU86" s="240"/>
      <c r="BV86" s="240"/>
      <c r="BW86" s="240"/>
      <c r="BX86" s="240"/>
      <c r="BY86" s="240"/>
      <c r="BZ86" s="240"/>
      <c r="CA86" s="240"/>
      <c r="CB86" s="240"/>
      <c r="CC86" s="240"/>
      <c r="CD86" s="240"/>
      <c r="CE86" s="240"/>
      <c r="CF86" s="240"/>
      <c r="CG86" s="240"/>
      <c r="CH86" s="240"/>
      <c r="CI86" s="240"/>
      <c r="CJ86" s="240"/>
      <c r="CK86" s="240"/>
      <c r="CL86" s="240"/>
      <c r="CM86" s="240"/>
      <c r="CN86" s="240"/>
      <c r="CO86" s="240"/>
      <c r="CP86" s="240"/>
      <c r="CQ86" s="240"/>
      <c r="CR86" s="240"/>
      <c r="CS86" s="240"/>
      <c r="CT86" s="240"/>
      <c r="CU86" s="240"/>
      <c r="CV86" s="240"/>
      <c r="CW86" s="240"/>
      <c r="CX86" s="240"/>
      <c r="CY86" s="240"/>
      <c r="CZ86" s="240"/>
      <c r="DA86" s="240"/>
      <c r="DB86" s="240"/>
      <c r="DC86" s="240"/>
      <c r="DD86" s="240"/>
      <c r="DE86" s="240"/>
      <c r="DF86" s="240"/>
      <c r="DG86" s="240"/>
      <c r="DH86" s="240"/>
      <c r="DI86" s="240"/>
      <c r="DJ86" s="240"/>
      <c r="DK86" s="240"/>
      <c r="DL86" s="240"/>
      <c r="DM86" s="240"/>
      <c r="DN86" s="240"/>
      <c r="DO86" s="240"/>
      <c r="DP86" s="240"/>
      <c r="DQ86" s="240"/>
      <c r="DR86" s="240"/>
      <c r="DS86" s="240"/>
      <c r="DT86" s="240"/>
      <c r="DU86" s="240"/>
      <c r="DV86" s="240"/>
      <c r="DW86" s="240"/>
      <c r="DX86" s="240"/>
      <c r="DY86" s="240"/>
      <c r="DZ86" s="240"/>
      <c r="EA86" s="240"/>
      <c r="EB86" s="240"/>
      <c r="EC86" s="240"/>
      <c r="ED86" s="240"/>
      <c r="EE86" s="240"/>
      <c r="EF86" s="240"/>
      <c r="EG86" s="240"/>
      <c r="EH86" s="240"/>
      <c r="EI86" s="240"/>
      <c r="EJ86" s="240"/>
      <c r="EK86" s="240"/>
      <c r="EL86" s="240"/>
      <c r="EM86" s="240"/>
      <c r="EN86" s="240"/>
      <c r="EO86" s="240"/>
      <c r="EP86" s="240"/>
      <c r="EQ86" s="240"/>
      <c r="ER86" s="240"/>
      <c r="ES86" s="240"/>
      <c r="ET86" s="240"/>
      <c r="EU86" s="240"/>
      <c r="EV86" s="240"/>
      <c r="EW86" s="240"/>
      <c r="EX86" s="240"/>
      <c r="EY86" s="240"/>
      <c r="EZ86" s="240"/>
      <c r="FA86" s="240"/>
      <c r="FB86" s="240"/>
      <c r="FC86" s="240"/>
      <c r="FD86" s="240"/>
      <c r="FE86" s="240"/>
      <c r="FF86" s="240"/>
      <c r="FG86" s="240"/>
      <c r="FH86" s="240"/>
      <c r="FI86" s="240"/>
      <c r="FJ86" s="240"/>
      <c r="FK86" s="240"/>
      <c r="FL86" s="240"/>
      <c r="FM86" s="240"/>
      <c r="FN86" s="240"/>
      <c r="FO86" s="240"/>
      <c r="FP86" s="240"/>
      <c r="FQ86" s="240"/>
      <c r="FR86" s="240"/>
      <c r="FS86" s="240"/>
      <c r="FT86" s="240"/>
      <c r="FU86" s="240"/>
      <c r="FV86" s="240"/>
      <c r="FW86" s="240"/>
      <c r="FX86" s="240"/>
      <c r="FY86" s="240"/>
      <c r="FZ86" s="240"/>
      <c r="GA86" s="240"/>
      <c r="GB86" s="240"/>
      <c r="GC86" s="240"/>
      <c r="GD86" s="240"/>
      <c r="GE86" s="240"/>
      <c r="GF86" s="240"/>
      <c r="GG86" s="240"/>
      <c r="GH86" s="240"/>
      <c r="GI86" s="240"/>
      <c r="GJ86" s="240"/>
      <c r="GK86" s="240"/>
      <c r="GL86" s="240"/>
      <c r="GM86" s="240"/>
      <c r="GN86" s="240"/>
      <c r="GO86" s="240"/>
      <c r="GP86" s="240"/>
      <c r="GQ86" s="240"/>
      <c r="GR86" s="240"/>
      <c r="GS86" s="240"/>
      <c r="GT86" s="240"/>
      <c r="GU86" s="240"/>
      <c r="GV86" s="240"/>
      <c r="GW86" s="240"/>
      <c r="GX86" s="240"/>
      <c r="GY86" s="240"/>
      <c r="GZ86" s="240"/>
      <c r="HA86" s="240"/>
      <c r="HB86" s="240"/>
      <c r="HC86" s="240"/>
      <c r="HD86" s="240"/>
      <c r="HE86" s="240"/>
      <c r="HF86" s="240"/>
      <c r="HG86" s="240"/>
      <c r="HH86" s="240"/>
      <c r="HI86" s="240"/>
      <c r="HJ86" s="240"/>
      <c r="HK86" s="240"/>
      <c r="HL86" s="240"/>
      <c r="HM86" s="240"/>
      <c r="HN86" s="240"/>
      <c r="HO86" s="240"/>
      <c r="HP86" s="240"/>
      <c r="HQ86" s="240"/>
      <c r="HR86" s="240"/>
      <c r="HS86" s="240"/>
      <c r="HT86" s="240"/>
      <c r="HU86" s="240"/>
      <c r="HV86" s="240"/>
      <c r="HW86" s="240"/>
      <c r="HX86" s="240"/>
      <c r="HY86" s="240"/>
      <c r="HZ86" s="240"/>
      <c r="IA86" s="240"/>
      <c r="IB86" s="240"/>
      <c r="IC86" s="240"/>
      <c r="ID86" s="240"/>
      <c r="IE86" s="240"/>
      <c r="IF86" s="240"/>
      <c r="IG86" s="240"/>
      <c r="IH86" s="240"/>
      <c r="II86" s="240"/>
      <c r="IJ86" s="240"/>
      <c r="IK86" s="240"/>
      <c r="IL86" s="240"/>
      <c r="IM86" s="240"/>
      <c r="IN86" s="240"/>
      <c r="IO86" s="240"/>
      <c r="IP86" s="240"/>
      <c r="IQ86" s="240"/>
      <c r="IR86" s="240"/>
      <c r="IS86" s="240"/>
      <c r="IT86" s="240"/>
      <c r="IU86" s="240"/>
      <c r="IV86" s="240"/>
      <c r="IW86" s="240"/>
      <c r="IX86" s="240"/>
      <c r="IY86" s="240"/>
      <c r="IZ86" s="240"/>
      <c r="JA86" s="240"/>
      <c r="JB86" s="240"/>
      <c r="JC86" s="240"/>
      <c r="JD86" s="240"/>
      <c r="JE86" s="240"/>
      <c r="JF86" s="240"/>
      <c r="JG86" s="240"/>
      <c r="JH86" s="240"/>
      <c r="JI86" s="240"/>
      <c r="JJ86" s="240"/>
      <c r="JK86" s="240"/>
      <c r="JL86" s="240"/>
      <c r="JM86" s="240"/>
      <c r="JN86" s="240"/>
      <c r="JO86" s="240"/>
      <c r="JP86" s="240"/>
      <c r="JQ86" s="240"/>
      <c r="JR86" s="240"/>
      <c r="JS86" s="240"/>
      <c r="JT86" s="240"/>
      <c r="JU86" s="240"/>
      <c r="JV86" s="240"/>
      <c r="JW86" s="240"/>
      <c r="JX86" s="240"/>
      <c r="JY86" s="240"/>
      <c r="JZ86" s="240"/>
      <c r="KA86" s="240"/>
      <c r="KB86" s="240"/>
      <c r="KC86" s="240"/>
      <c r="KD86" s="240"/>
      <c r="KE86" s="240"/>
      <c r="KF86" s="240"/>
      <c r="KG86" s="240"/>
      <c r="KH86" s="240"/>
      <c r="KI86" s="240"/>
      <c r="KJ86" s="240"/>
      <c r="KK86" s="240"/>
      <c r="KL86" s="240"/>
      <c r="KM86" s="240"/>
      <c r="KN86" s="240"/>
      <c r="KO86" s="240"/>
      <c r="KP86" s="240"/>
      <c r="KQ86" s="240"/>
      <c r="KR86" s="240"/>
      <c r="KS86" s="240"/>
      <c r="KT86" s="240"/>
      <c r="KU86" s="240"/>
      <c r="KV86" s="240"/>
      <c r="KW86" s="240"/>
      <c r="KX86" s="240"/>
      <c r="KY86" s="240"/>
      <c r="KZ86" s="240"/>
      <c r="LA86" s="240"/>
      <c r="LB86" s="240"/>
      <c r="LC86" s="240"/>
      <c r="LD86" s="240"/>
      <c r="LE86" s="240"/>
      <c r="LF86" s="240"/>
    </row>
    <row r="87" spans="1:318" ht="15.9" customHeight="1" x14ac:dyDescent="0.25"/>
    <row r="88" spans="1:318" ht="15.9" customHeight="1" x14ac:dyDescent="0.25"/>
  </sheetData>
  <sortState ref="A127:LC134">
    <sortCondition ref="B125:B132"/>
  </sortState>
  <mergeCells count="11">
    <mergeCell ref="F5:F7"/>
    <mergeCell ref="G5:G7"/>
    <mergeCell ref="H5:H7"/>
    <mergeCell ref="I5:I7"/>
    <mergeCell ref="A1:G1"/>
    <mergeCell ref="A3:G3"/>
    <mergeCell ref="A5:A7"/>
    <mergeCell ref="B5:B7"/>
    <mergeCell ref="C5:C7"/>
    <mergeCell ref="D5:D7"/>
    <mergeCell ref="E5:E7"/>
  </mergeCells>
  <phoneticPr fontId="0" type="noConversion"/>
  <conditionalFormatting sqref="J29:GQ29 J31:LF31 J30:FF30 HL30:LF30 J33:LF33 J32:FF32 HL32:LF32 JL29:LF29 IX29:JJ29 GS29:IV29">
    <cfRule type="top10" dxfId="42" priority="79" rank="15"/>
  </conditionalFormatting>
  <conditionalFormatting sqref="J15:LF18">
    <cfRule type="top10" dxfId="41" priority="89" rank="15"/>
  </conditionalFormatting>
  <conditionalFormatting sqref="J24:LF25">
    <cfRule type="top10" dxfId="40" priority="90" rank="15"/>
  </conditionalFormatting>
  <conditionalFormatting sqref="J28:LF28 J26:DU26 FT26:IO26 J27:GJ27 GS27:LF27 DX26:EU26 IR26:LF26 GL27:GQ27 EW26:FR26">
    <cfRule type="top10" dxfId="39" priority="91" rank="15"/>
  </conditionalFormatting>
  <conditionalFormatting sqref="J41:LF42 J43:GX43 IN43:JM43 GZ43:IL43 JO43:LF43">
    <cfRule type="top10" dxfId="38" priority="100" rank="15"/>
  </conditionalFormatting>
  <conditionalFormatting sqref="J8:LF9 J11:LF12 J10:CO10 CY10:FU10 GF10:LF10">
    <cfRule type="top10" dxfId="37" priority="105" rank="15"/>
  </conditionalFormatting>
  <conditionalFormatting sqref="J13:CS14 CX14:DO14 CX13:DN13 DP13:JK13 DQ14:FS14 FU14:GS14 GU14:IG14 II14:JJ14 JL14:LF14 JM13:LF13">
    <cfRule type="top10" dxfId="36" priority="110" rank="15"/>
  </conditionalFormatting>
  <conditionalFormatting sqref="J19:LF21">
    <cfRule type="top10" dxfId="35" priority="120" rank="15"/>
  </conditionalFormatting>
  <conditionalFormatting sqref="J34:LF37">
    <cfRule type="top10" dxfId="34" priority="2" rank="15"/>
  </conditionalFormatting>
  <conditionalFormatting sqref="J48:LF48 J49:KG49 KI49:KU49 KW49:LF49">
    <cfRule type="top10" dxfId="33" priority="1" rank="15"/>
  </conditionalFormatting>
  <pageMargins left="0.75" right="0.75" top="1" bottom="1" header="0.4921259845" footer="0.4921259845"/>
  <pageSetup paperSize="9" orientation="portrait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F26"/>
  <sheetViews>
    <sheetView showGridLines="0" zoomScaleNormal="100" workbookViewId="0">
      <pane xSplit="9" ySplit="7" topLeftCell="KL8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3.2" x14ac:dyDescent="0.25"/>
  <cols>
    <col min="1" max="1" width="9.88671875" style="14" customWidth="1"/>
    <col min="2" max="2" width="26.5546875" style="54" customWidth="1"/>
    <col min="3" max="3" width="12" style="1" customWidth="1"/>
    <col min="4" max="4" width="21.5546875" customWidth="1"/>
    <col min="5" max="5" width="10.88671875" style="1" customWidth="1"/>
    <col min="6" max="6" width="9.88671875" style="1" customWidth="1"/>
    <col min="7" max="7" width="27.5546875" customWidth="1"/>
    <col min="8" max="8" width="10.109375" style="1" customWidth="1"/>
    <col min="9" max="9" width="9.88671875" style="14" customWidth="1"/>
    <col min="10" max="47" width="4.6640625" customWidth="1"/>
    <col min="48" max="48" width="7.109375" customWidth="1"/>
    <col min="49" max="49" width="6.33203125" customWidth="1"/>
    <col min="50" max="61" width="4.6640625" customWidth="1"/>
    <col min="62" max="62" width="5.88671875" customWidth="1"/>
    <col min="63" max="63" width="5.5546875" customWidth="1"/>
    <col min="64" max="64" width="5.6640625" customWidth="1"/>
    <col min="65" max="65" width="6.5546875" customWidth="1"/>
    <col min="66" max="66" width="7.6640625" customWidth="1"/>
    <col min="67" max="67" width="7.109375" customWidth="1"/>
    <col min="68" max="73" width="4.6640625" customWidth="1"/>
    <col min="74" max="74" width="10" customWidth="1"/>
    <col min="75" max="75" width="5.6640625" customWidth="1"/>
    <col min="76" max="76" width="5.109375" customWidth="1"/>
    <col min="77" max="78" width="4.6640625" customWidth="1"/>
    <col min="79" max="79" width="6.6640625" customWidth="1"/>
    <col min="80" max="80" width="5.88671875" customWidth="1"/>
    <col min="81" max="81" width="9.109375" customWidth="1"/>
    <col min="82" max="86" width="4.6640625" customWidth="1"/>
    <col min="87" max="87" width="9.33203125" customWidth="1"/>
    <col min="88" max="130" width="4.6640625" customWidth="1"/>
    <col min="131" max="131" width="5.109375" customWidth="1"/>
    <col min="132" max="132" width="5.44140625" customWidth="1"/>
    <col min="133" max="133" width="5.109375" customWidth="1"/>
    <col min="134" max="218" width="4.6640625" customWidth="1"/>
    <col min="219" max="219" width="12.88671875" customWidth="1"/>
    <col min="220" max="258" width="4.6640625" customWidth="1"/>
    <col min="259" max="259" width="5.88671875" customWidth="1"/>
    <col min="260" max="260" width="6.33203125" customWidth="1"/>
    <col min="261" max="263" width="4.6640625" customWidth="1"/>
    <col min="264" max="264" width="7" customWidth="1"/>
    <col min="265" max="265" width="8" customWidth="1"/>
    <col min="266" max="266" width="10.109375" customWidth="1"/>
    <col min="267" max="277" width="4.6640625" customWidth="1"/>
    <col min="278" max="278" width="9.44140625" customWidth="1"/>
    <col min="279" max="318" width="4.6640625" customWidth="1"/>
  </cols>
  <sheetData>
    <row r="1" spans="1:318" ht="24.9" customHeight="1" x14ac:dyDescent="0.4">
      <c r="A1" s="322" t="s">
        <v>0</v>
      </c>
      <c r="B1" s="323"/>
      <c r="C1" s="323"/>
      <c r="D1" s="323"/>
      <c r="E1" s="323"/>
      <c r="F1" s="323"/>
      <c r="G1" s="323"/>
      <c r="J1" s="1"/>
      <c r="K1" s="11" t="s">
        <v>1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1" t="s">
        <v>1</v>
      </c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1" t="s">
        <v>1</v>
      </c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</row>
    <row r="2" spans="1:318" ht="15" customHeight="1" x14ac:dyDescent="0.4">
      <c r="A2" s="75"/>
      <c r="B2" s="76" t="s">
        <v>1</v>
      </c>
      <c r="C2" s="77"/>
      <c r="D2" s="77"/>
      <c r="E2" s="77"/>
      <c r="F2" s="77"/>
      <c r="G2" s="77"/>
      <c r="H2" s="30"/>
      <c r="I2" s="31"/>
      <c r="J2" s="1"/>
      <c r="K2" s="1"/>
      <c r="L2" s="1"/>
      <c r="M2" s="11" t="s">
        <v>1</v>
      </c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</row>
    <row r="3" spans="1:318" ht="24.9" customHeight="1" x14ac:dyDescent="0.4">
      <c r="A3" s="324" t="s">
        <v>266</v>
      </c>
      <c r="B3" s="324"/>
      <c r="C3" s="324"/>
      <c r="D3" s="324"/>
      <c r="E3" s="324"/>
      <c r="F3" s="324"/>
      <c r="G3" s="324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 t="s">
        <v>1</v>
      </c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</row>
    <row r="4" spans="1:318" ht="15" customHeight="1" x14ac:dyDescent="0.25">
      <c r="A4" s="78"/>
      <c r="B4" s="76"/>
      <c r="C4" s="77"/>
      <c r="D4" s="79"/>
      <c r="E4" s="77"/>
      <c r="F4" s="77"/>
      <c r="G4" s="79"/>
    </row>
    <row r="5" spans="1:318" ht="14.4" x14ac:dyDescent="0.3">
      <c r="A5" s="325" t="s">
        <v>3</v>
      </c>
      <c r="B5" s="328" t="s">
        <v>4</v>
      </c>
      <c r="C5" s="328" t="s">
        <v>5</v>
      </c>
      <c r="D5" s="328" t="s">
        <v>6</v>
      </c>
      <c r="E5" s="328" t="s">
        <v>5</v>
      </c>
      <c r="F5" s="328" t="s">
        <v>7</v>
      </c>
      <c r="G5" s="328" t="s">
        <v>8</v>
      </c>
      <c r="H5" s="319" t="s">
        <v>9</v>
      </c>
      <c r="I5" s="319" t="s">
        <v>10</v>
      </c>
      <c r="J5" s="161" t="s">
        <v>11</v>
      </c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0" t="s">
        <v>12</v>
      </c>
      <c r="Y5" s="161"/>
      <c r="Z5" s="161"/>
      <c r="AA5" s="161"/>
      <c r="AB5" s="161"/>
      <c r="AC5" s="161"/>
      <c r="AD5" s="158"/>
      <c r="AE5" s="161" t="s">
        <v>12</v>
      </c>
      <c r="AF5" s="161"/>
      <c r="AG5" s="160" t="s">
        <v>13</v>
      </c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58"/>
      <c r="AS5" s="161" t="s">
        <v>14</v>
      </c>
      <c r="AT5" s="161"/>
      <c r="AU5" s="161"/>
      <c r="AV5" s="160" t="s">
        <v>15</v>
      </c>
      <c r="AW5" s="161"/>
      <c r="AX5" s="161"/>
      <c r="AY5" s="161"/>
      <c r="AZ5" s="161"/>
      <c r="BA5" s="161"/>
      <c r="BB5" s="161"/>
      <c r="BC5" s="161"/>
      <c r="BD5" s="161"/>
      <c r="BE5" s="161"/>
      <c r="BF5" s="161"/>
      <c r="BG5" s="161"/>
      <c r="BH5" s="161"/>
      <c r="BI5" s="158"/>
      <c r="BJ5" s="161" t="s">
        <v>16</v>
      </c>
      <c r="BK5" s="161"/>
      <c r="BL5" s="160" t="s">
        <v>16</v>
      </c>
      <c r="BM5" s="158"/>
      <c r="BN5" s="161" t="s">
        <v>17</v>
      </c>
      <c r="BO5" s="161"/>
      <c r="BP5" s="160" t="s">
        <v>18</v>
      </c>
      <c r="BQ5" s="161"/>
      <c r="BR5" s="161"/>
      <c r="BS5" s="161"/>
      <c r="BT5" s="161"/>
      <c r="BU5" s="158"/>
      <c r="BV5" s="161" t="s">
        <v>19</v>
      </c>
      <c r="BW5" s="160" t="s">
        <v>20</v>
      </c>
      <c r="BX5" s="158"/>
      <c r="BY5" s="161" t="s">
        <v>21</v>
      </c>
      <c r="BZ5" s="161"/>
      <c r="CA5" s="160" t="s">
        <v>22</v>
      </c>
      <c r="CB5" s="158"/>
      <c r="CC5" s="160" t="s">
        <v>22</v>
      </c>
      <c r="CD5" s="160" t="s">
        <v>23</v>
      </c>
      <c r="CE5" s="161"/>
      <c r="CF5" s="161"/>
      <c r="CG5" s="161"/>
      <c r="CH5" s="158"/>
      <c r="CI5" s="159" t="s">
        <v>24</v>
      </c>
      <c r="CJ5" s="161" t="s">
        <v>25</v>
      </c>
      <c r="CK5" s="161"/>
      <c r="CL5" s="161"/>
      <c r="CM5" s="161"/>
      <c r="CN5" s="161"/>
      <c r="CO5" s="161"/>
      <c r="CP5" s="161"/>
      <c r="CQ5" s="161"/>
      <c r="CR5" s="161"/>
      <c r="CS5" s="161"/>
      <c r="CT5" s="161"/>
      <c r="CU5" s="161"/>
      <c r="CV5" s="161"/>
      <c r="CW5" s="161"/>
      <c r="CX5" s="161"/>
      <c r="CY5" s="161"/>
      <c r="CZ5" s="160" t="s">
        <v>25</v>
      </c>
      <c r="DA5" s="158"/>
      <c r="DB5" s="161" t="s">
        <v>26</v>
      </c>
      <c r="DC5" s="161"/>
      <c r="DD5" s="161"/>
      <c r="DE5" s="161"/>
      <c r="DF5" s="161"/>
      <c r="DG5" s="161"/>
      <c r="DH5" s="161"/>
      <c r="DI5" s="160" t="s">
        <v>27</v>
      </c>
      <c r="DJ5" s="161"/>
      <c r="DK5" s="161"/>
      <c r="DL5" s="161"/>
      <c r="DM5" s="161"/>
      <c r="DN5" s="161"/>
      <c r="DO5" s="161"/>
      <c r="DP5" s="161"/>
      <c r="DQ5" s="161"/>
      <c r="DR5" s="161"/>
      <c r="DS5" s="161"/>
      <c r="DT5" s="161"/>
      <c r="DU5" s="161"/>
      <c r="DV5" s="161"/>
      <c r="DW5" s="161"/>
      <c r="DX5" s="158"/>
      <c r="DY5" s="161" t="s">
        <v>28</v>
      </c>
      <c r="DZ5" s="161"/>
      <c r="EA5" s="161" t="s">
        <v>29</v>
      </c>
      <c r="EB5" s="161"/>
      <c r="EC5" s="161"/>
      <c r="ED5" s="161"/>
      <c r="EE5" s="161"/>
      <c r="EF5" s="161"/>
      <c r="EG5" s="161"/>
      <c r="EH5" s="161"/>
      <c r="EI5" s="161"/>
      <c r="EJ5" s="161"/>
      <c r="EK5" s="161"/>
      <c r="EL5" s="161"/>
      <c r="EM5" s="161"/>
      <c r="EN5" s="160" t="s">
        <v>30</v>
      </c>
      <c r="EO5" s="161"/>
      <c r="EP5" s="158"/>
      <c r="EQ5" s="161" t="s">
        <v>31</v>
      </c>
      <c r="ER5" s="161"/>
      <c r="ES5" s="161"/>
      <c r="ET5" s="161"/>
      <c r="EU5" s="161"/>
      <c r="EV5" s="161"/>
      <c r="EW5" s="161"/>
      <c r="EX5" s="161"/>
      <c r="EY5" s="161"/>
      <c r="EZ5" s="161"/>
      <c r="FA5" s="161"/>
      <c r="FB5" s="161"/>
      <c r="FC5" s="161"/>
      <c r="FD5" s="161"/>
      <c r="FE5" s="161"/>
      <c r="FF5" s="158"/>
      <c r="FG5" s="161" t="s">
        <v>32</v>
      </c>
      <c r="FH5" s="161"/>
      <c r="FI5" s="161"/>
      <c r="FJ5" s="161"/>
      <c r="FK5" s="161"/>
      <c r="FL5" s="161"/>
      <c r="FM5" s="160" t="s">
        <v>32</v>
      </c>
      <c r="FN5" s="161"/>
      <c r="FO5" s="158"/>
      <c r="FP5" s="161" t="s">
        <v>33</v>
      </c>
      <c r="FQ5" s="161"/>
      <c r="FR5" s="161"/>
      <c r="FS5" s="161"/>
      <c r="FT5" s="161"/>
      <c r="FU5" s="161"/>
      <c r="FV5" s="161"/>
      <c r="FW5" s="161"/>
      <c r="FX5" s="161"/>
      <c r="FY5" s="161"/>
      <c r="FZ5" s="161"/>
      <c r="GA5" s="161"/>
      <c r="GB5" s="161"/>
      <c r="GC5" s="161"/>
      <c r="GD5" s="161"/>
      <c r="GE5" s="160" t="s">
        <v>34</v>
      </c>
      <c r="GF5" s="161"/>
      <c r="GG5" s="161"/>
      <c r="GH5" s="161"/>
      <c r="GI5" s="161"/>
      <c r="GJ5" s="161"/>
      <c r="GK5" s="161"/>
      <c r="GL5" s="161"/>
      <c r="GM5" s="161"/>
      <c r="GN5" s="161"/>
      <c r="GO5" s="161"/>
      <c r="GP5" s="161"/>
      <c r="GQ5" s="161"/>
      <c r="GR5" s="161"/>
      <c r="GS5" s="161"/>
      <c r="GT5" s="161"/>
      <c r="GU5" s="161"/>
      <c r="GV5" s="161"/>
      <c r="GW5" s="161"/>
      <c r="GX5" s="161"/>
      <c r="GY5" s="161"/>
      <c r="GZ5" s="161"/>
      <c r="HA5" s="161"/>
      <c r="HB5" s="158"/>
      <c r="HC5" s="161" t="s">
        <v>35</v>
      </c>
      <c r="HD5" s="161"/>
      <c r="HE5" s="160" t="s">
        <v>36</v>
      </c>
      <c r="HF5" s="161"/>
      <c r="HG5" s="161"/>
      <c r="HH5" s="161"/>
      <c r="HI5" s="161"/>
      <c r="HJ5" s="158"/>
      <c r="HK5" s="161" t="s">
        <v>36</v>
      </c>
      <c r="HL5" s="160" t="s">
        <v>37</v>
      </c>
      <c r="HM5" s="161"/>
      <c r="HN5" s="161"/>
      <c r="HO5" s="161"/>
      <c r="HP5" s="161"/>
      <c r="HQ5" s="161"/>
      <c r="HR5" s="161"/>
      <c r="HS5" s="158"/>
      <c r="HT5" s="161" t="s">
        <v>38</v>
      </c>
      <c r="HU5" s="161"/>
      <c r="HV5" s="161"/>
      <c r="HW5" s="161"/>
      <c r="HX5" s="161"/>
      <c r="HY5" s="161"/>
      <c r="HZ5" s="160" t="s">
        <v>39</v>
      </c>
      <c r="IA5" s="161"/>
      <c r="IB5" s="161"/>
      <c r="IC5" s="161"/>
      <c r="ID5" s="161"/>
      <c r="IE5" s="161"/>
      <c r="IF5" s="161"/>
      <c r="IG5" s="161"/>
      <c r="IH5" s="161"/>
      <c r="II5" s="158"/>
      <c r="IJ5" s="161" t="s">
        <v>40</v>
      </c>
      <c r="IK5" s="161"/>
      <c r="IL5" s="161"/>
      <c r="IM5" s="161"/>
      <c r="IN5" s="161"/>
      <c r="IO5" s="161"/>
      <c r="IP5" s="161"/>
      <c r="IQ5" s="161"/>
      <c r="IR5" s="161"/>
      <c r="IS5" s="161"/>
      <c r="IT5" s="161"/>
      <c r="IU5" s="161"/>
      <c r="IV5" s="161"/>
      <c r="IW5" s="161"/>
      <c r="IX5" s="161"/>
      <c r="IY5" s="160" t="s">
        <v>41</v>
      </c>
      <c r="IZ5" s="158"/>
      <c r="JA5" s="161" t="s">
        <v>42</v>
      </c>
      <c r="JB5" s="161"/>
      <c r="JC5" s="161"/>
      <c r="JD5" s="160" t="s">
        <v>42</v>
      </c>
      <c r="JE5" s="158"/>
      <c r="JF5" s="161" t="s">
        <v>43</v>
      </c>
      <c r="JG5" s="160" t="s">
        <v>44</v>
      </c>
      <c r="JH5" s="161"/>
      <c r="JI5" s="161"/>
      <c r="JJ5" s="161"/>
      <c r="JK5" s="161"/>
      <c r="JL5" s="161"/>
      <c r="JM5" s="161"/>
      <c r="JN5" s="161"/>
      <c r="JO5" s="161"/>
      <c r="JP5" s="161"/>
      <c r="JQ5" s="158"/>
      <c r="JR5" s="161" t="s">
        <v>45</v>
      </c>
      <c r="JS5" s="160" t="s">
        <v>46</v>
      </c>
      <c r="JT5" s="161"/>
      <c r="JU5" s="161"/>
      <c r="JV5" s="161"/>
      <c r="JW5" s="161"/>
      <c r="JX5" s="158"/>
      <c r="JY5" s="161" t="s">
        <v>450</v>
      </c>
      <c r="JZ5" s="161"/>
      <c r="KA5" s="161"/>
      <c r="KB5" s="160" t="s">
        <v>451</v>
      </c>
      <c r="KC5" s="161"/>
      <c r="KD5" s="161"/>
      <c r="KE5" s="161"/>
      <c r="KF5" s="161"/>
      <c r="KG5" s="161"/>
      <c r="KH5" s="161"/>
      <c r="KI5" s="158"/>
      <c r="KJ5" s="161" t="s">
        <v>452</v>
      </c>
      <c r="KK5" s="161"/>
      <c r="KL5" s="161"/>
      <c r="KM5" s="161"/>
      <c r="KN5" s="161"/>
      <c r="KO5" s="160" t="s">
        <v>453</v>
      </c>
      <c r="KP5" s="161"/>
      <c r="KQ5" s="161"/>
      <c r="KR5" s="161"/>
      <c r="KS5" s="161"/>
      <c r="KT5" s="158"/>
      <c r="KU5" s="161" t="s">
        <v>454</v>
      </c>
      <c r="KV5" s="161"/>
      <c r="KW5" s="161"/>
      <c r="KX5" s="161"/>
      <c r="KY5" s="161"/>
      <c r="KZ5" s="161"/>
      <c r="LA5" s="161"/>
      <c r="LB5" s="161"/>
      <c r="LC5" s="161"/>
      <c r="LD5" s="161"/>
      <c r="LE5" s="161"/>
      <c r="LF5" s="158"/>
    </row>
    <row r="6" spans="1:318" ht="14.4" x14ac:dyDescent="0.3">
      <c r="A6" s="326"/>
      <c r="B6" s="329"/>
      <c r="C6" s="329"/>
      <c r="D6" s="329"/>
      <c r="E6" s="329"/>
      <c r="F6" s="329"/>
      <c r="G6" s="329"/>
      <c r="H6" s="320"/>
      <c r="I6" s="320"/>
      <c r="J6" s="161" t="s">
        <v>47</v>
      </c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0" t="s">
        <v>47</v>
      </c>
      <c r="Y6" s="161"/>
      <c r="Z6" s="161"/>
      <c r="AA6" s="161"/>
      <c r="AB6" s="161"/>
      <c r="AC6" s="161"/>
      <c r="AD6" s="158"/>
      <c r="AE6" s="161" t="s">
        <v>48</v>
      </c>
      <c r="AF6" s="161"/>
      <c r="AG6" s="160" t="s">
        <v>47</v>
      </c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58"/>
      <c r="AS6" s="161" t="s">
        <v>49</v>
      </c>
      <c r="AT6" s="161"/>
      <c r="AU6" s="161"/>
      <c r="AV6" s="160" t="s">
        <v>47</v>
      </c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58"/>
      <c r="BJ6" s="167" t="s">
        <v>50</v>
      </c>
      <c r="BK6" s="161"/>
      <c r="BL6" s="169" t="s">
        <v>51</v>
      </c>
      <c r="BM6" s="168"/>
      <c r="BN6" s="167" t="s">
        <v>52</v>
      </c>
      <c r="BO6" s="161"/>
      <c r="BP6" s="160" t="s">
        <v>53</v>
      </c>
      <c r="BQ6" s="161"/>
      <c r="BR6" s="161"/>
      <c r="BS6" s="161"/>
      <c r="BT6" s="161"/>
      <c r="BU6" s="158"/>
      <c r="BV6" s="167" t="s">
        <v>54</v>
      </c>
      <c r="BW6" s="169" t="s">
        <v>55</v>
      </c>
      <c r="BX6" s="158"/>
      <c r="BY6" s="166" t="s">
        <v>56</v>
      </c>
      <c r="BZ6" s="161"/>
      <c r="CA6" s="169" t="s">
        <v>57</v>
      </c>
      <c r="CB6" s="158"/>
      <c r="CC6" s="169" t="s">
        <v>58</v>
      </c>
      <c r="CD6" s="160" t="s">
        <v>59</v>
      </c>
      <c r="CE6" s="161"/>
      <c r="CF6" s="161"/>
      <c r="CG6" s="161"/>
      <c r="CH6" s="158"/>
      <c r="CI6" s="170" t="s">
        <v>48</v>
      </c>
      <c r="CJ6" s="161" t="s">
        <v>60</v>
      </c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0" t="s">
        <v>61</v>
      </c>
      <c r="DA6" s="158"/>
      <c r="DB6" s="161" t="s">
        <v>62</v>
      </c>
      <c r="DC6" s="161"/>
      <c r="DD6" s="161"/>
      <c r="DE6" s="161"/>
      <c r="DF6" s="161"/>
      <c r="DG6" s="161"/>
      <c r="DH6" s="161"/>
      <c r="DI6" s="160" t="s">
        <v>63</v>
      </c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58"/>
      <c r="DY6" s="161" t="s">
        <v>64</v>
      </c>
      <c r="DZ6" s="161"/>
      <c r="EA6" s="161" t="s">
        <v>47</v>
      </c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0" t="s">
        <v>65</v>
      </c>
      <c r="EO6" s="161"/>
      <c r="EP6" s="158"/>
      <c r="EQ6" s="161" t="s">
        <v>63</v>
      </c>
      <c r="ER6" s="161"/>
      <c r="ES6" s="161"/>
      <c r="ET6" s="161"/>
      <c r="EU6" s="161"/>
      <c r="EV6" s="161"/>
      <c r="EW6" s="161"/>
      <c r="EX6" s="161"/>
      <c r="EY6" s="161"/>
      <c r="EZ6" s="161"/>
      <c r="FA6" s="161"/>
      <c r="FB6" s="161"/>
      <c r="FC6" s="161"/>
      <c r="FD6" s="161"/>
      <c r="FE6" s="161"/>
      <c r="FF6" s="158"/>
      <c r="FG6" s="161" t="s">
        <v>66</v>
      </c>
      <c r="FH6" s="161"/>
      <c r="FI6" s="161"/>
      <c r="FJ6" s="161"/>
      <c r="FK6" s="161"/>
      <c r="FL6" s="161"/>
      <c r="FM6" s="160" t="s">
        <v>48</v>
      </c>
      <c r="FN6" s="161"/>
      <c r="FO6" s="158"/>
      <c r="FP6" s="161" t="s">
        <v>60</v>
      </c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1"/>
      <c r="GB6" s="161"/>
      <c r="GC6" s="161"/>
      <c r="GD6" s="161"/>
      <c r="GE6" s="160" t="s">
        <v>63</v>
      </c>
      <c r="GF6" s="161"/>
      <c r="GG6" s="161"/>
      <c r="GH6" s="161"/>
      <c r="GI6" s="161"/>
      <c r="GJ6" s="161"/>
      <c r="GK6" s="161"/>
      <c r="GL6" s="161"/>
      <c r="GM6" s="161"/>
      <c r="GN6" s="161"/>
      <c r="GO6" s="161"/>
      <c r="GP6" s="161"/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1"/>
      <c r="HB6" s="158"/>
      <c r="HC6" s="167" t="s">
        <v>50</v>
      </c>
      <c r="HD6" s="262"/>
      <c r="HE6" s="160" t="s">
        <v>67</v>
      </c>
      <c r="HF6" s="161"/>
      <c r="HG6" s="161"/>
      <c r="HH6" s="161"/>
      <c r="HI6" s="161"/>
      <c r="HJ6" s="158"/>
      <c r="HK6" s="161" t="s">
        <v>68</v>
      </c>
      <c r="HL6" s="160" t="s">
        <v>69</v>
      </c>
      <c r="HM6" s="161"/>
      <c r="HN6" s="161"/>
      <c r="HO6" s="161"/>
      <c r="HP6" s="161"/>
      <c r="HQ6" s="161"/>
      <c r="HR6" s="161"/>
      <c r="HS6" s="158"/>
      <c r="HT6" s="161" t="s">
        <v>60</v>
      </c>
      <c r="HU6" s="161"/>
      <c r="HV6" s="161"/>
      <c r="HW6" s="161"/>
      <c r="HX6" s="161"/>
      <c r="HY6" s="161"/>
      <c r="HZ6" s="160" t="s">
        <v>70</v>
      </c>
      <c r="IA6" s="161"/>
      <c r="IB6" s="161"/>
      <c r="IC6" s="161"/>
      <c r="ID6" s="161"/>
      <c r="IE6" s="161"/>
      <c r="IF6" s="161"/>
      <c r="IG6" s="161"/>
      <c r="IH6" s="161"/>
      <c r="II6" s="158"/>
      <c r="IJ6" s="161" t="s">
        <v>71</v>
      </c>
      <c r="IK6" s="161"/>
      <c r="IL6" s="161"/>
      <c r="IM6" s="161"/>
      <c r="IN6" s="161"/>
      <c r="IO6" s="161"/>
      <c r="IP6" s="161"/>
      <c r="IQ6" s="161"/>
      <c r="IR6" s="161"/>
      <c r="IS6" s="161"/>
      <c r="IT6" s="161"/>
      <c r="IU6" s="161"/>
      <c r="IV6" s="161"/>
      <c r="IW6" s="161"/>
      <c r="IX6" s="161"/>
      <c r="IY6" s="169" t="s">
        <v>72</v>
      </c>
      <c r="IZ6" s="158"/>
      <c r="JA6" s="262" t="s">
        <v>73</v>
      </c>
      <c r="JB6" s="161"/>
      <c r="JC6" s="161"/>
      <c r="JD6" s="293" t="s">
        <v>50</v>
      </c>
      <c r="JE6" s="158"/>
      <c r="JF6" s="167" t="s">
        <v>74</v>
      </c>
      <c r="JG6" s="160" t="s">
        <v>75</v>
      </c>
      <c r="JH6" s="161"/>
      <c r="JI6" s="161"/>
      <c r="JJ6" s="161"/>
      <c r="JK6" s="161"/>
      <c r="JL6" s="161"/>
      <c r="JM6" s="161"/>
      <c r="JN6" s="161"/>
      <c r="JO6" s="161"/>
      <c r="JP6" s="161"/>
      <c r="JQ6" s="158"/>
      <c r="JR6" s="167" t="s">
        <v>76</v>
      </c>
      <c r="JS6" s="160" t="s">
        <v>77</v>
      </c>
      <c r="JT6" s="161"/>
      <c r="JU6" s="161"/>
      <c r="JV6" s="161"/>
      <c r="JW6" s="161"/>
      <c r="JX6" s="158"/>
      <c r="JY6" s="161" t="s">
        <v>455</v>
      </c>
      <c r="JZ6" s="161"/>
      <c r="KA6" s="161"/>
      <c r="KB6" s="160" t="s">
        <v>456</v>
      </c>
      <c r="KC6" s="161"/>
      <c r="KD6" s="161"/>
      <c r="KE6" s="161"/>
      <c r="KF6" s="161"/>
      <c r="KG6" s="161"/>
      <c r="KH6" s="161"/>
      <c r="KI6" s="158"/>
      <c r="KJ6" s="161" t="s">
        <v>457</v>
      </c>
      <c r="KK6" s="161"/>
      <c r="KL6" s="161"/>
      <c r="KM6" s="161"/>
      <c r="KN6" s="161"/>
      <c r="KO6" s="160" t="s">
        <v>51</v>
      </c>
      <c r="KP6" s="161"/>
      <c r="KQ6" s="161"/>
      <c r="KR6" s="161"/>
      <c r="KS6" s="161"/>
      <c r="KT6" s="158"/>
      <c r="KU6" s="161" t="s">
        <v>47</v>
      </c>
      <c r="KV6" s="161"/>
      <c r="KW6" s="161"/>
      <c r="KX6" s="161"/>
      <c r="KY6" s="161"/>
      <c r="KZ6" s="161"/>
      <c r="LA6" s="161"/>
      <c r="LB6" s="161"/>
      <c r="LC6" s="161"/>
      <c r="LD6" s="161"/>
      <c r="LE6" s="161"/>
      <c r="LF6" s="158"/>
    </row>
    <row r="7" spans="1:318" s="1" customFormat="1" ht="18" customHeight="1" x14ac:dyDescent="0.3">
      <c r="A7" s="327"/>
      <c r="B7" s="330"/>
      <c r="C7" s="330"/>
      <c r="D7" s="330"/>
      <c r="E7" s="330"/>
      <c r="F7" s="330"/>
      <c r="G7" s="330"/>
      <c r="H7" s="321"/>
      <c r="I7" s="321"/>
      <c r="J7" s="162" t="s">
        <v>78</v>
      </c>
      <c r="K7" s="162" t="s">
        <v>79</v>
      </c>
      <c r="L7" s="162" t="s">
        <v>80</v>
      </c>
      <c r="M7" s="162" t="s">
        <v>81</v>
      </c>
      <c r="N7" s="162" t="s">
        <v>82</v>
      </c>
      <c r="O7" s="162" t="s">
        <v>83</v>
      </c>
      <c r="P7" s="162" t="s">
        <v>84</v>
      </c>
      <c r="Q7" s="162" t="s">
        <v>78</v>
      </c>
      <c r="R7" s="162" t="s">
        <v>79</v>
      </c>
      <c r="S7" s="162" t="s">
        <v>80</v>
      </c>
      <c r="T7" s="162" t="s">
        <v>81</v>
      </c>
      <c r="U7" s="162" t="s">
        <v>82</v>
      </c>
      <c r="V7" s="162" t="s">
        <v>83</v>
      </c>
      <c r="W7" s="162" t="s">
        <v>84</v>
      </c>
      <c r="X7" s="163" t="s">
        <v>78</v>
      </c>
      <c r="Y7" s="162" t="s">
        <v>81</v>
      </c>
      <c r="Z7" s="162" t="s">
        <v>80</v>
      </c>
      <c r="AA7" s="162" t="s">
        <v>82</v>
      </c>
      <c r="AB7" s="162" t="s">
        <v>85</v>
      </c>
      <c r="AC7" s="162" t="s">
        <v>78</v>
      </c>
      <c r="AD7" s="164" t="s">
        <v>84</v>
      </c>
      <c r="AE7" s="162" t="s">
        <v>86</v>
      </c>
      <c r="AF7" s="162" t="s">
        <v>87</v>
      </c>
      <c r="AG7" s="163" t="s">
        <v>78</v>
      </c>
      <c r="AH7" s="162" t="s">
        <v>79</v>
      </c>
      <c r="AI7" s="162" t="s">
        <v>80</v>
      </c>
      <c r="AJ7" s="162" t="s">
        <v>81</v>
      </c>
      <c r="AK7" s="162" t="s">
        <v>82</v>
      </c>
      <c r="AL7" s="162" t="s">
        <v>83</v>
      </c>
      <c r="AM7" s="162" t="s">
        <v>84</v>
      </c>
      <c r="AN7" s="162" t="s">
        <v>85</v>
      </c>
      <c r="AO7" s="162" t="s">
        <v>79</v>
      </c>
      <c r="AP7" s="162" t="s">
        <v>88</v>
      </c>
      <c r="AQ7" s="162" t="s">
        <v>89</v>
      </c>
      <c r="AR7" s="164" t="s">
        <v>85</v>
      </c>
      <c r="AS7" s="162" t="s">
        <v>84</v>
      </c>
      <c r="AT7" s="162" t="s">
        <v>89</v>
      </c>
      <c r="AU7" s="162" t="s">
        <v>90</v>
      </c>
      <c r="AV7" s="163" t="s">
        <v>78</v>
      </c>
      <c r="AW7" s="162" t="s">
        <v>79</v>
      </c>
      <c r="AX7" s="162" t="s">
        <v>80</v>
      </c>
      <c r="AY7" s="162" t="s">
        <v>81</v>
      </c>
      <c r="AZ7" s="162" t="s">
        <v>82</v>
      </c>
      <c r="BA7" s="162" t="s">
        <v>83</v>
      </c>
      <c r="BB7" s="162" t="s">
        <v>84</v>
      </c>
      <c r="BC7" s="162" t="s">
        <v>91</v>
      </c>
      <c r="BD7" s="162" t="s">
        <v>79</v>
      </c>
      <c r="BE7" s="162" t="s">
        <v>80</v>
      </c>
      <c r="BF7" s="162" t="s">
        <v>88</v>
      </c>
      <c r="BG7" s="162" t="s">
        <v>89</v>
      </c>
      <c r="BH7" s="162" t="s">
        <v>85</v>
      </c>
      <c r="BI7" s="164" t="s">
        <v>91</v>
      </c>
      <c r="BJ7" s="162" t="s">
        <v>86</v>
      </c>
      <c r="BK7" s="162" t="s">
        <v>87</v>
      </c>
      <c r="BL7" s="163" t="s">
        <v>92</v>
      </c>
      <c r="BM7" s="164" t="s">
        <v>93</v>
      </c>
      <c r="BN7" s="162" t="s">
        <v>84</v>
      </c>
      <c r="BO7" s="162" t="s">
        <v>89</v>
      </c>
      <c r="BP7" s="163" t="s">
        <v>85</v>
      </c>
      <c r="BQ7" s="162" t="s">
        <v>94</v>
      </c>
      <c r="BR7" s="162" t="s">
        <v>91</v>
      </c>
      <c r="BS7" s="162" t="s">
        <v>95</v>
      </c>
      <c r="BT7" s="162" t="s">
        <v>96</v>
      </c>
      <c r="BU7" s="164" t="s">
        <v>97</v>
      </c>
      <c r="BV7" s="162" t="s">
        <v>84</v>
      </c>
      <c r="BW7" s="163" t="s">
        <v>85</v>
      </c>
      <c r="BX7" s="164" t="s">
        <v>86</v>
      </c>
      <c r="BY7" s="162" t="s">
        <v>98</v>
      </c>
      <c r="BZ7" s="162" t="s">
        <v>93</v>
      </c>
      <c r="CA7" s="163" t="s">
        <v>95</v>
      </c>
      <c r="CB7" s="164" t="s">
        <v>99</v>
      </c>
      <c r="CC7" s="163" t="s">
        <v>91</v>
      </c>
      <c r="CD7" s="163" t="s">
        <v>100</v>
      </c>
      <c r="CE7" s="162" t="s">
        <v>91</v>
      </c>
      <c r="CF7" s="162" t="s">
        <v>101</v>
      </c>
      <c r="CG7" s="162" t="s">
        <v>96</v>
      </c>
      <c r="CH7" s="164" t="s">
        <v>102</v>
      </c>
      <c r="CI7" s="165" t="s">
        <v>93</v>
      </c>
      <c r="CJ7" s="162" t="s">
        <v>80</v>
      </c>
      <c r="CK7" s="162" t="s">
        <v>82</v>
      </c>
      <c r="CL7" s="162" t="s">
        <v>98</v>
      </c>
      <c r="CM7" s="162" t="s">
        <v>88</v>
      </c>
      <c r="CN7" s="162" t="s">
        <v>83</v>
      </c>
      <c r="CO7" s="162" t="s">
        <v>91</v>
      </c>
      <c r="CP7" s="162" t="s">
        <v>95</v>
      </c>
      <c r="CQ7" s="162" t="s">
        <v>81</v>
      </c>
      <c r="CR7" s="162" t="s">
        <v>103</v>
      </c>
      <c r="CS7" s="162" t="s">
        <v>104</v>
      </c>
      <c r="CT7" s="162" t="s">
        <v>101</v>
      </c>
      <c r="CU7" s="162" t="s">
        <v>89</v>
      </c>
      <c r="CV7" s="162" t="s">
        <v>87</v>
      </c>
      <c r="CW7" s="162" t="s">
        <v>96</v>
      </c>
      <c r="CX7" s="162" t="s">
        <v>97</v>
      </c>
      <c r="CY7" s="162" t="s">
        <v>83</v>
      </c>
      <c r="CZ7" s="163" t="s">
        <v>84</v>
      </c>
      <c r="DA7" s="164" t="s">
        <v>89</v>
      </c>
      <c r="DB7" s="162" t="s">
        <v>91</v>
      </c>
      <c r="DC7" s="162" t="s">
        <v>84</v>
      </c>
      <c r="DD7" s="162" t="s">
        <v>95</v>
      </c>
      <c r="DE7" s="162" t="s">
        <v>89</v>
      </c>
      <c r="DF7" s="162" t="s">
        <v>96</v>
      </c>
      <c r="DG7" s="162" t="s">
        <v>90</v>
      </c>
      <c r="DH7" s="162" t="s">
        <v>97</v>
      </c>
      <c r="DI7" s="163" t="s">
        <v>80</v>
      </c>
      <c r="DJ7" s="162" t="s">
        <v>98</v>
      </c>
      <c r="DK7" s="162" t="s">
        <v>100</v>
      </c>
      <c r="DL7" s="162" t="s">
        <v>82</v>
      </c>
      <c r="DM7" s="162" t="s">
        <v>88</v>
      </c>
      <c r="DN7" s="162" t="s">
        <v>83</v>
      </c>
      <c r="DO7" s="162" t="s">
        <v>85</v>
      </c>
      <c r="DP7" s="162" t="s">
        <v>96</v>
      </c>
      <c r="DQ7" s="162" t="s">
        <v>80</v>
      </c>
      <c r="DR7" s="162" t="s">
        <v>103</v>
      </c>
      <c r="DS7" s="162" t="s">
        <v>101</v>
      </c>
      <c r="DT7" s="162" t="s">
        <v>81</v>
      </c>
      <c r="DU7" s="162" t="s">
        <v>104</v>
      </c>
      <c r="DV7" s="162" t="s">
        <v>84</v>
      </c>
      <c r="DW7" s="162" t="s">
        <v>91</v>
      </c>
      <c r="DX7" s="164" t="s">
        <v>102</v>
      </c>
      <c r="DY7" s="162" t="s">
        <v>93</v>
      </c>
      <c r="DZ7" s="162" t="s">
        <v>92</v>
      </c>
      <c r="EA7" s="162" t="s">
        <v>78</v>
      </c>
      <c r="EB7" s="162" t="s">
        <v>79</v>
      </c>
      <c r="EC7" s="162" t="s">
        <v>93</v>
      </c>
      <c r="ED7" s="162" t="s">
        <v>81</v>
      </c>
      <c r="EE7" s="162" t="s">
        <v>82</v>
      </c>
      <c r="EF7" s="162" t="s">
        <v>83</v>
      </c>
      <c r="EG7" s="162" t="s">
        <v>84</v>
      </c>
      <c r="EH7" s="162" t="s">
        <v>78</v>
      </c>
      <c r="EI7" s="162" t="s">
        <v>79</v>
      </c>
      <c r="EJ7" s="162" t="s">
        <v>93</v>
      </c>
      <c r="EK7" s="162" t="s">
        <v>88</v>
      </c>
      <c r="EL7" s="162" t="s">
        <v>104</v>
      </c>
      <c r="EM7" s="162" t="s">
        <v>85</v>
      </c>
      <c r="EN7" s="163" t="s">
        <v>84</v>
      </c>
      <c r="EO7" s="162" t="s">
        <v>89</v>
      </c>
      <c r="EP7" s="164" t="s">
        <v>90</v>
      </c>
      <c r="EQ7" s="162" t="s">
        <v>80</v>
      </c>
      <c r="ER7" s="162" t="s">
        <v>98</v>
      </c>
      <c r="ES7" s="162" t="s">
        <v>93</v>
      </c>
      <c r="ET7" s="162" t="s">
        <v>82</v>
      </c>
      <c r="EU7" s="162" t="s">
        <v>88</v>
      </c>
      <c r="EV7" s="162" t="s">
        <v>84</v>
      </c>
      <c r="EW7" s="162" t="s">
        <v>85</v>
      </c>
      <c r="EX7" s="162" t="s">
        <v>102</v>
      </c>
      <c r="EY7" s="162" t="s">
        <v>80</v>
      </c>
      <c r="EZ7" s="162" t="s">
        <v>98</v>
      </c>
      <c r="FA7" s="162" t="s">
        <v>93</v>
      </c>
      <c r="FB7" s="162" t="s">
        <v>81</v>
      </c>
      <c r="FC7" s="162" t="s">
        <v>104</v>
      </c>
      <c r="FD7" s="162" t="s">
        <v>89</v>
      </c>
      <c r="FE7" s="162" t="s">
        <v>91</v>
      </c>
      <c r="FF7" s="164" t="s">
        <v>96</v>
      </c>
      <c r="FG7" s="276" t="s">
        <v>82</v>
      </c>
      <c r="FH7" s="276" t="s">
        <v>81</v>
      </c>
      <c r="FI7" s="276" t="s">
        <v>88</v>
      </c>
      <c r="FJ7" s="276" t="s">
        <v>105</v>
      </c>
      <c r="FK7" s="276" t="s">
        <v>83</v>
      </c>
      <c r="FL7" s="276" t="s">
        <v>84</v>
      </c>
      <c r="FM7" s="277" t="s">
        <v>80</v>
      </c>
      <c r="FN7" s="276" t="s">
        <v>93</v>
      </c>
      <c r="FO7" s="278" t="s">
        <v>106</v>
      </c>
      <c r="FP7" s="276" t="s">
        <v>82</v>
      </c>
      <c r="FQ7" s="276" t="s">
        <v>88</v>
      </c>
      <c r="FR7" s="276" t="s">
        <v>83</v>
      </c>
      <c r="FS7" s="276" t="s">
        <v>84</v>
      </c>
      <c r="FT7" s="276" t="s">
        <v>85</v>
      </c>
      <c r="FU7" s="276" t="s">
        <v>96</v>
      </c>
      <c r="FV7" s="276" t="s">
        <v>95</v>
      </c>
      <c r="FW7" s="276" t="s">
        <v>81</v>
      </c>
      <c r="FX7" s="276" t="s">
        <v>104</v>
      </c>
      <c r="FY7" s="276" t="s">
        <v>88</v>
      </c>
      <c r="FZ7" s="276" t="s">
        <v>101</v>
      </c>
      <c r="GA7" s="276" t="s">
        <v>83</v>
      </c>
      <c r="GB7" s="276" t="s">
        <v>91</v>
      </c>
      <c r="GC7" s="276" t="s">
        <v>96</v>
      </c>
      <c r="GD7" s="276" t="s">
        <v>97</v>
      </c>
      <c r="GE7" s="277" t="s">
        <v>80</v>
      </c>
      <c r="GF7" s="276" t="s">
        <v>79</v>
      </c>
      <c r="GG7" s="276" t="s">
        <v>82</v>
      </c>
      <c r="GH7" s="276" t="s">
        <v>88</v>
      </c>
      <c r="GI7" s="276" t="s">
        <v>83</v>
      </c>
      <c r="GJ7" s="276" t="s">
        <v>100</v>
      </c>
      <c r="GK7" s="276" t="s">
        <v>85</v>
      </c>
      <c r="GL7" s="276" t="s">
        <v>91</v>
      </c>
      <c r="GM7" s="276" t="s">
        <v>80</v>
      </c>
      <c r="GN7" s="276" t="s">
        <v>81</v>
      </c>
      <c r="GO7" s="276" t="s">
        <v>79</v>
      </c>
      <c r="GP7" s="276" t="s">
        <v>104</v>
      </c>
      <c r="GQ7" s="276" t="s">
        <v>107</v>
      </c>
      <c r="GR7" s="276" t="s">
        <v>84</v>
      </c>
      <c r="GS7" s="276" t="s">
        <v>91</v>
      </c>
      <c r="GT7" s="276" t="s">
        <v>102</v>
      </c>
      <c r="GU7" s="276" t="s">
        <v>108</v>
      </c>
      <c r="GV7" s="276" t="s">
        <v>80</v>
      </c>
      <c r="GW7" s="276" t="s">
        <v>82</v>
      </c>
      <c r="GX7" s="276" t="s">
        <v>109</v>
      </c>
      <c r="GY7" s="276" t="s">
        <v>88</v>
      </c>
      <c r="GZ7" s="276" t="s">
        <v>83</v>
      </c>
      <c r="HA7" s="276" t="s">
        <v>85</v>
      </c>
      <c r="HB7" s="278" t="s">
        <v>96</v>
      </c>
      <c r="HC7" s="276" t="s">
        <v>86</v>
      </c>
      <c r="HD7" s="276" t="s">
        <v>87</v>
      </c>
      <c r="HE7" s="277" t="s">
        <v>110</v>
      </c>
      <c r="HF7" s="276" t="s">
        <v>111</v>
      </c>
      <c r="HG7" s="276" t="s">
        <v>112</v>
      </c>
      <c r="HH7" s="276" t="s">
        <v>113</v>
      </c>
      <c r="HI7" s="276" t="s">
        <v>114</v>
      </c>
      <c r="HJ7" s="278" t="s">
        <v>105</v>
      </c>
      <c r="HK7" s="276" t="s">
        <v>93</v>
      </c>
      <c r="HL7" s="163" t="s">
        <v>91</v>
      </c>
      <c r="HM7" s="162" t="s">
        <v>96</v>
      </c>
      <c r="HN7" s="162" t="s">
        <v>102</v>
      </c>
      <c r="HO7" s="162" t="s">
        <v>84</v>
      </c>
      <c r="HP7" s="162" t="s">
        <v>89</v>
      </c>
      <c r="HQ7" s="162" t="s">
        <v>90</v>
      </c>
      <c r="HR7" s="162" t="s">
        <v>100</v>
      </c>
      <c r="HS7" s="164" t="s">
        <v>101</v>
      </c>
      <c r="HT7" s="162" t="s">
        <v>83</v>
      </c>
      <c r="HU7" s="162" t="s">
        <v>82</v>
      </c>
      <c r="HV7" s="162" t="s">
        <v>85</v>
      </c>
      <c r="HW7" s="162" t="s">
        <v>84</v>
      </c>
      <c r="HX7" s="162" t="s">
        <v>81</v>
      </c>
      <c r="HY7" s="162" t="s">
        <v>91</v>
      </c>
      <c r="HZ7" s="163" t="s">
        <v>96</v>
      </c>
      <c r="IA7" s="162" t="s">
        <v>93</v>
      </c>
      <c r="IB7" s="162" t="s">
        <v>98</v>
      </c>
      <c r="IC7" s="162" t="s">
        <v>91</v>
      </c>
      <c r="ID7" s="162" t="s">
        <v>82</v>
      </c>
      <c r="IE7" s="162" t="s">
        <v>100</v>
      </c>
      <c r="IF7" s="162" t="s">
        <v>88</v>
      </c>
      <c r="IG7" s="162" t="s">
        <v>87</v>
      </c>
      <c r="IH7" s="162" t="s">
        <v>102</v>
      </c>
      <c r="II7" s="164" t="s">
        <v>101</v>
      </c>
      <c r="IJ7" s="162" t="s">
        <v>82</v>
      </c>
      <c r="IK7" s="162" t="s">
        <v>81</v>
      </c>
      <c r="IL7" s="162" t="s">
        <v>83</v>
      </c>
      <c r="IM7" s="162" t="s">
        <v>82</v>
      </c>
      <c r="IN7" s="162" t="s">
        <v>88</v>
      </c>
      <c r="IO7" s="162" t="s">
        <v>115</v>
      </c>
      <c r="IP7" s="162" t="s">
        <v>84</v>
      </c>
      <c r="IQ7" s="162" t="s">
        <v>86</v>
      </c>
      <c r="IR7" s="162" t="s">
        <v>96</v>
      </c>
      <c r="IS7" s="162" t="s">
        <v>82</v>
      </c>
      <c r="IT7" s="162" t="s">
        <v>104</v>
      </c>
      <c r="IU7" s="162" t="s">
        <v>87</v>
      </c>
      <c r="IV7" s="162" t="s">
        <v>116</v>
      </c>
      <c r="IW7" s="162" t="s">
        <v>89</v>
      </c>
      <c r="IX7" s="162" t="s">
        <v>96</v>
      </c>
      <c r="IY7" s="163" t="s">
        <v>104</v>
      </c>
      <c r="IZ7" s="164" t="s">
        <v>108</v>
      </c>
      <c r="JA7" s="162" t="s">
        <v>91</v>
      </c>
      <c r="JB7" s="162" t="s">
        <v>91</v>
      </c>
      <c r="JC7" s="162" t="s">
        <v>96</v>
      </c>
      <c r="JD7" s="163" t="s">
        <v>91</v>
      </c>
      <c r="JE7" s="164" t="s">
        <v>96</v>
      </c>
      <c r="JF7" s="162" t="s">
        <v>95</v>
      </c>
      <c r="JG7" s="163" t="s">
        <v>80</v>
      </c>
      <c r="JH7" s="162" t="s">
        <v>82</v>
      </c>
      <c r="JI7" s="162" t="s">
        <v>88</v>
      </c>
      <c r="JJ7" s="162" t="s">
        <v>83</v>
      </c>
      <c r="JK7" s="162" t="s">
        <v>85</v>
      </c>
      <c r="JL7" s="162" t="s">
        <v>96</v>
      </c>
      <c r="JM7" s="162" t="s">
        <v>80</v>
      </c>
      <c r="JN7" s="162" t="s">
        <v>81</v>
      </c>
      <c r="JO7" s="162" t="s">
        <v>104</v>
      </c>
      <c r="JP7" s="162" t="s">
        <v>84</v>
      </c>
      <c r="JQ7" s="164" t="s">
        <v>91</v>
      </c>
      <c r="JR7" s="162" t="s">
        <v>117</v>
      </c>
      <c r="JS7" s="163" t="s">
        <v>78</v>
      </c>
      <c r="JT7" s="162" t="s">
        <v>82</v>
      </c>
      <c r="JU7" s="162" t="s">
        <v>80</v>
      </c>
      <c r="JV7" s="162" t="s">
        <v>88</v>
      </c>
      <c r="JW7" s="162" t="s">
        <v>84</v>
      </c>
      <c r="JX7" s="164" t="s">
        <v>85</v>
      </c>
      <c r="JY7" s="162" t="s">
        <v>84</v>
      </c>
      <c r="JZ7" s="162" t="s">
        <v>89</v>
      </c>
      <c r="KA7" s="162" t="s">
        <v>90</v>
      </c>
      <c r="KB7" s="163" t="s">
        <v>78</v>
      </c>
      <c r="KC7" s="162" t="s">
        <v>82</v>
      </c>
      <c r="KD7" s="162" t="s">
        <v>88</v>
      </c>
      <c r="KE7" s="162" t="s">
        <v>84</v>
      </c>
      <c r="KF7" s="162" t="s">
        <v>78</v>
      </c>
      <c r="KG7" s="162" t="s">
        <v>82</v>
      </c>
      <c r="KH7" s="162" t="s">
        <v>88</v>
      </c>
      <c r="KI7" s="164" t="s">
        <v>84</v>
      </c>
      <c r="KJ7" s="162" t="s">
        <v>458</v>
      </c>
      <c r="KK7" s="162" t="s">
        <v>459</v>
      </c>
      <c r="KL7" s="162" t="s">
        <v>434</v>
      </c>
      <c r="KM7" s="162" t="s">
        <v>460</v>
      </c>
      <c r="KN7" s="162" t="s">
        <v>434</v>
      </c>
      <c r="KO7" s="163" t="s">
        <v>84</v>
      </c>
      <c r="KP7" s="162" t="s">
        <v>89</v>
      </c>
      <c r="KQ7" s="162" t="s">
        <v>91</v>
      </c>
      <c r="KR7" s="162" t="s">
        <v>100</v>
      </c>
      <c r="KS7" s="162" t="s">
        <v>96</v>
      </c>
      <c r="KT7" s="164" t="s">
        <v>101</v>
      </c>
      <c r="KU7" s="162" t="s">
        <v>78</v>
      </c>
      <c r="KV7" s="162" t="s">
        <v>81</v>
      </c>
      <c r="KW7" s="162" t="s">
        <v>80</v>
      </c>
      <c r="KX7" s="162" t="s">
        <v>82</v>
      </c>
      <c r="KY7" s="162" t="s">
        <v>83</v>
      </c>
      <c r="KZ7" s="162" t="s">
        <v>85</v>
      </c>
      <c r="LA7" s="162" t="s">
        <v>79</v>
      </c>
      <c r="LB7" s="162" t="s">
        <v>81</v>
      </c>
      <c r="LC7" s="162" t="s">
        <v>98</v>
      </c>
      <c r="LD7" s="162" t="s">
        <v>82</v>
      </c>
      <c r="LE7" s="162" t="s">
        <v>88</v>
      </c>
      <c r="LF7" s="164" t="s">
        <v>84</v>
      </c>
    </row>
    <row r="8" spans="1:318" s="12" customFormat="1" ht="18" customHeight="1" x14ac:dyDescent="0.25">
      <c r="A8" s="14">
        <v>1</v>
      </c>
      <c r="B8" s="13" t="s">
        <v>267</v>
      </c>
      <c r="C8" s="1">
        <v>5701</v>
      </c>
      <c r="D8" t="s">
        <v>268</v>
      </c>
      <c r="E8" s="1">
        <v>10640</v>
      </c>
      <c r="F8" s="1">
        <v>2007</v>
      </c>
      <c r="G8" t="s">
        <v>269</v>
      </c>
      <c r="H8" s="1">
        <f t="shared" ref="H8:H24" si="0">SUM(J8:LL8)</f>
        <v>100</v>
      </c>
      <c r="I8" s="14">
        <f>Tabuľka119[[#This Row],[Stĺpec98]]+DN9+Tabuľka119[[#This Row],[Stĺpec117]]+DQ10+DV9+Tabuľka119[[#This Row],[Stĺpec125]]+EY10+Tabuľka119[[#This Row],[Stĺpec148]]+GI9+Tabuľka119[[#This Row],[Stĺpec210]]+Tabuľka119[[#This Row],[Stĺpec216]]+Tabuľka119[[#This Row],[Stĺpec169]]+Tabuľka119[[#This Row],[Stĺpec282]]+KC10+KG10</f>
        <v>151.19999999999999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/>
      <c r="CK8"/>
      <c r="CL8"/>
      <c r="CM8"/>
      <c r="CN8"/>
      <c r="CO8">
        <v>4</v>
      </c>
      <c r="CP8"/>
      <c r="CQ8"/>
      <c r="CR8"/>
      <c r="CS8"/>
      <c r="CT8"/>
      <c r="CU8"/>
      <c r="CV8">
        <f>3+7</f>
        <v>10</v>
      </c>
      <c r="CW8"/>
      <c r="CX8"/>
      <c r="CY8"/>
      <c r="CZ8" s="1"/>
      <c r="DA8" s="1"/>
      <c r="DB8" s="1"/>
      <c r="DC8" s="1"/>
      <c r="DD8" s="1"/>
      <c r="DE8" s="1"/>
      <c r="DF8" s="1"/>
      <c r="DG8" s="1"/>
      <c r="DH8" s="1"/>
      <c r="DI8"/>
      <c r="DJ8"/>
      <c r="DK8"/>
      <c r="DL8"/>
      <c r="DM8"/>
      <c r="DN8"/>
      <c r="DO8">
        <f>5+7</f>
        <v>12</v>
      </c>
      <c r="DP8"/>
      <c r="DQ8"/>
      <c r="DR8"/>
      <c r="DS8"/>
      <c r="DT8"/>
      <c r="DU8"/>
      <c r="DV8"/>
      <c r="DW8">
        <f>6+7</f>
        <v>13</v>
      </c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/>
      <c r="ER8"/>
      <c r="ES8"/>
      <c r="ET8"/>
      <c r="EU8"/>
      <c r="EV8"/>
      <c r="EW8">
        <v>6</v>
      </c>
      <c r="EX8"/>
      <c r="EY8"/>
      <c r="EZ8"/>
      <c r="FA8"/>
      <c r="FB8"/>
      <c r="FC8"/>
      <c r="FD8"/>
      <c r="FE8">
        <f>5+8</f>
        <v>13</v>
      </c>
      <c r="FF8"/>
      <c r="FG8" s="268"/>
      <c r="FH8" s="268"/>
      <c r="FI8" s="268"/>
      <c r="FJ8" s="268"/>
      <c r="FK8" s="268"/>
      <c r="FL8" s="264"/>
      <c r="FM8" s="268"/>
      <c r="FN8" s="268"/>
      <c r="FO8" s="264"/>
      <c r="FP8" s="268"/>
      <c r="FQ8" s="268"/>
      <c r="FR8" s="268"/>
      <c r="FS8" s="268"/>
      <c r="FT8" s="268"/>
      <c r="FU8" s="268"/>
      <c r="FV8" s="268"/>
      <c r="FW8" s="268"/>
      <c r="FX8" s="268"/>
      <c r="FY8" s="268"/>
      <c r="FZ8" s="268"/>
      <c r="GA8" s="268"/>
      <c r="GB8" s="268"/>
      <c r="GC8" s="268"/>
      <c r="GD8" s="264"/>
      <c r="GE8" s="268"/>
      <c r="GF8" s="268"/>
      <c r="GG8" s="268"/>
      <c r="GH8" s="268"/>
      <c r="GI8" s="268"/>
      <c r="GJ8" s="268"/>
      <c r="GK8" s="268"/>
      <c r="GL8" s="268">
        <v>7</v>
      </c>
      <c r="GM8" s="268"/>
      <c r="GN8" s="268"/>
      <c r="GO8" s="268"/>
      <c r="GP8" s="268"/>
      <c r="GQ8" s="268"/>
      <c r="GR8" s="268"/>
      <c r="GS8" s="268">
        <f>4+6</f>
        <v>10</v>
      </c>
      <c r="GT8" s="268"/>
      <c r="GU8" s="268"/>
      <c r="GV8" s="268"/>
      <c r="GW8" s="268"/>
      <c r="GX8" s="268"/>
      <c r="GY8" s="268"/>
      <c r="GZ8" s="268"/>
      <c r="HA8" s="268">
        <f>8+9</f>
        <v>17</v>
      </c>
      <c r="HB8" s="268"/>
      <c r="HC8" s="268"/>
      <c r="HD8" s="268"/>
      <c r="HE8" s="268"/>
      <c r="HF8" s="268"/>
      <c r="HG8" s="268"/>
      <c r="HH8" s="268"/>
      <c r="HI8" s="268"/>
      <c r="HJ8" s="268"/>
      <c r="HK8" s="268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>
        <v>8</v>
      </c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</row>
    <row r="9" spans="1:318" s="12" customFormat="1" ht="18" customHeight="1" x14ac:dyDescent="0.25">
      <c r="A9" s="14"/>
      <c r="B9" s="71"/>
      <c r="C9" s="1"/>
      <c r="D9" t="s">
        <v>270</v>
      </c>
      <c r="E9" s="1">
        <v>9965</v>
      </c>
      <c r="F9" s="1">
        <v>2008</v>
      </c>
      <c r="G9"/>
      <c r="H9" s="1">
        <f t="shared" si="0"/>
        <v>60</v>
      </c>
      <c r="I9" s="14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>
        <v>1</v>
      </c>
      <c r="CO9" s="1"/>
      <c r="CP9" s="1"/>
      <c r="CQ9" s="1"/>
      <c r="CR9" s="1"/>
      <c r="CS9" s="1"/>
      <c r="CT9" s="1"/>
      <c r="CU9" s="1"/>
      <c r="CV9" s="1"/>
      <c r="CW9" s="1"/>
      <c r="CX9" s="1"/>
      <c r="CY9" s="1">
        <v>5</v>
      </c>
      <c r="CZ9" s="1"/>
      <c r="DA9" s="1"/>
      <c r="DB9" s="1"/>
      <c r="DC9" s="1"/>
      <c r="DD9" s="1"/>
      <c r="DE9" s="1"/>
      <c r="DF9" s="1"/>
      <c r="DG9" s="1"/>
      <c r="DH9" s="1"/>
      <c r="DI9"/>
      <c r="DJ9"/>
      <c r="DK9"/>
      <c r="DL9"/>
      <c r="DM9">
        <f>3+3</f>
        <v>6</v>
      </c>
      <c r="DN9">
        <f>4+6</f>
        <v>10</v>
      </c>
      <c r="DO9"/>
      <c r="DP9"/>
      <c r="DQ9"/>
      <c r="DR9"/>
      <c r="DS9"/>
      <c r="DT9"/>
      <c r="DU9"/>
      <c r="DV9">
        <f>4+5</f>
        <v>9</v>
      </c>
      <c r="DW9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 s="268"/>
      <c r="FH9" s="268"/>
      <c r="FI9" s="268"/>
      <c r="FJ9" s="268"/>
      <c r="FK9" s="264">
        <v>5</v>
      </c>
      <c r="FL9" s="264">
        <v>5</v>
      </c>
      <c r="FM9" s="268"/>
      <c r="FN9" s="268"/>
      <c r="FO9" s="264"/>
      <c r="FP9" s="268"/>
      <c r="FQ9" s="268"/>
      <c r="FR9" s="268"/>
      <c r="FS9" s="268"/>
      <c r="FT9" s="268"/>
      <c r="FU9" s="268"/>
      <c r="FV9" s="268"/>
      <c r="FW9" s="268"/>
      <c r="FX9" s="268"/>
      <c r="FY9" s="268"/>
      <c r="FZ9" s="268"/>
      <c r="GA9" s="268"/>
      <c r="GB9" s="268"/>
      <c r="GC9" s="268"/>
      <c r="GD9" s="264"/>
      <c r="GE9" s="268"/>
      <c r="GF9" s="268"/>
      <c r="GG9" s="268"/>
      <c r="GH9" s="268"/>
      <c r="GI9" s="268">
        <f>4+5</f>
        <v>9</v>
      </c>
      <c r="GJ9" s="268"/>
      <c r="GK9" s="268"/>
      <c r="GL9" s="268"/>
      <c r="GM9" s="268"/>
      <c r="GN9" s="268"/>
      <c r="GO9" s="268"/>
      <c r="GP9" s="268"/>
      <c r="GQ9" s="268">
        <f>4+1</f>
        <v>5</v>
      </c>
      <c r="GR9" s="268">
        <f>1+3</f>
        <v>4</v>
      </c>
      <c r="GS9" s="268"/>
      <c r="GT9" s="268"/>
      <c r="GU9" s="268"/>
      <c r="GV9" s="268"/>
      <c r="GW9" s="268"/>
      <c r="GX9" s="268"/>
      <c r="GY9" s="268"/>
      <c r="GZ9" s="268">
        <v>1</v>
      </c>
      <c r="HA9" s="268"/>
      <c r="HB9" s="268"/>
      <c r="HC9" s="268"/>
      <c r="HD9" s="268"/>
      <c r="HE9" s="268"/>
      <c r="HF9" s="268"/>
      <c r="HG9" s="268"/>
      <c r="HH9" s="268"/>
      <c r="HI9" s="268"/>
      <c r="HJ9" s="268"/>
      <c r="HK9" s="268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</row>
    <row r="10" spans="1:318" s="12" customFormat="1" ht="18" customHeight="1" x14ac:dyDescent="0.25">
      <c r="A10" s="14"/>
      <c r="B10" s="71"/>
      <c r="C10" s="1"/>
      <c r="D10" t="s">
        <v>271</v>
      </c>
      <c r="E10" s="1">
        <v>11480</v>
      </c>
      <c r="F10" s="1">
        <v>2017</v>
      </c>
      <c r="G10"/>
      <c r="H10" s="1">
        <f t="shared" si="0"/>
        <v>74.2</v>
      </c>
      <c r="I10" s="14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>
        <f>1+4</f>
        <v>5</v>
      </c>
      <c r="DJ10"/>
      <c r="DK10"/>
      <c r="DL10">
        <f>1+1</f>
        <v>2</v>
      </c>
      <c r="DM10"/>
      <c r="DN10"/>
      <c r="DO10"/>
      <c r="DP10"/>
      <c r="DQ10">
        <f>2+7</f>
        <v>9</v>
      </c>
      <c r="DR10"/>
      <c r="DS10"/>
      <c r="DT10"/>
      <c r="DU10"/>
      <c r="DV10"/>
      <c r="DW10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>
        <f>(0+5)*1.2</f>
        <v>6</v>
      </c>
      <c r="ER10"/>
      <c r="ES10"/>
      <c r="ET10">
        <f>2+2</f>
        <v>4</v>
      </c>
      <c r="EU10"/>
      <c r="EV10"/>
      <c r="EW10"/>
      <c r="EX10"/>
      <c r="EY10">
        <f>(1+5)*1.2</f>
        <v>7.1999999999999993</v>
      </c>
      <c r="EZ10"/>
      <c r="FA10"/>
      <c r="FB10"/>
      <c r="FC10"/>
      <c r="FD10"/>
      <c r="FE10"/>
      <c r="FF10"/>
      <c r="FG10" s="268"/>
      <c r="FH10" s="268"/>
      <c r="FI10" s="268"/>
      <c r="FJ10" s="268"/>
      <c r="FK10" s="268"/>
      <c r="FL10" s="264"/>
      <c r="FM10" s="268"/>
      <c r="FN10" s="268"/>
      <c r="FO10" s="264"/>
      <c r="FP10" s="268"/>
      <c r="FQ10" s="268"/>
      <c r="FR10" s="268"/>
      <c r="FS10" s="268"/>
      <c r="FT10" s="268"/>
      <c r="FU10" s="268"/>
      <c r="FV10" s="268"/>
      <c r="FW10" s="268"/>
      <c r="FX10" s="268"/>
      <c r="FY10" s="268"/>
      <c r="FZ10" s="268"/>
      <c r="GA10" s="268"/>
      <c r="GB10" s="268"/>
      <c r="GC10" s="268"/>
      <c r="GD10" s="264"/>
      <c r="GE10" s="268">
        <f>3</f>
        <v>3</v>
      </c>
      <c r="GF10" s="268"/>
      <c r="GG10" s="268">
        <f>3+2</f>
        <v>5</v>
      </c>
      <c r="GH10" s="268"/>
      <c r="GI10" s="268"/>
      <c r="GJ10" s="268"/>
      <c r="GK10" s="268"/>
      <c r="GL10" s="268"/>
      <c r="GM10" s="268">
        <v>4</v>
      </c>
      <c r="GN10" s="268"/>
      <c r="GO10" s="268"/>
      <c r="GP10" s="268"/>
      <c r="GQ10" s="268"/>
      <c r="GR10" s="268"/>
      <c r="GS10" s="268"/>
      <c r="GT10" s="268"/>
      <c r="GU10" s="268"/>
      <c r="GV10" s="268">
        <f>2+5</f>
        <v>7</v>
      </c>
      <c r="GW10" s="268">
        <f>2+3</f>
        <v>5</v>
      </c>
      <c r="GX10" s="268"/>
      <c r="GY10" s="268"/>
      <c r="GZ10" s="268"/>
      <c r="HA10" s="268"/>
      <c r="HB10" s="268"/>
      <c r="HC10" s="268"/>
      <c r="HD10" s="268"/>
      <c r="HE10" s="268"/>
      <c r="HF10" s="268"/>
      <c r="HG10" s="268"/>
      <c r="HH10" s="268"/>
      <c r="HI10" s="268"/>
      <c r="HJ10" s="268"/>
      <c r="HK10" s="268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268"/>
      <c r="KC10" s="268">
        <f>3+6</f>
        <v>9</v>
      </c>
      <c r="KD10" s="268"/>
      <c r="KE10" s="268"/>
      <c r="KF10" s="268"/>
      <c r="KG10" s="268">
        <f>2+6</f>
        <v>8</v>
      </c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</row>
    <row r="11" spans="1:318" s="12" customFormat="1" ht="18" customHeight="1" x14ac:dyDescent="0.25">
      <c r="A11" s="14"/>
      <c r="B11" s="71"/>
      <c r="C11" s="1"/>
      <c r="D11" t="s">
        <v>272</v>
      </c>
      <c r="E11" s="1">
        <v>11481</v>
      </c>
      <c r="F11" s="1"/>
      <c r="G11"/>
      <c r="H11" s="1">
        <f t="shared" si="0"/>
        <v>15</v>
      </c>
      <c r="I11" s="1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/>
      <c r="DJ11"/>
      <c r="DK11"/>
      <c r="DL11">
        <f>3+2</f>
        <v>5</v>
      </c>
      <c r="DM11"/>
      <c r="DN11"/>
      <c r="DO11"/>
      <c r="DP11"/>
      <c r="DQ11"/>
      <c r="DR11"/>
      <c r="DS11"/>
      <c r="DT11"/>
      <c r="DU11"/>
      <c r="DV11"/>
      <c r="DW1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 s="264">
        <v>2</v>
      </c>
      <c r="FH11" s="268"/>
      <c r="FI11" s="264">
        <f>4+2</f>
        <v>6</v>
      </c>
      <c r="FJ11" s="268"/>
      <c r="FK11" s="268"/>
      <c r="FL11" s="264"/>
      <c r="FM11" s="268"/>
      <c r="FN11" s="268"/>
      <c r="FO11" s="264"/>
      <c r="FP11" s="268"/>
      <c r="FQ11" s="268"/>
      <c r="FR11" s="268"/>
      <c r="FS11" s="268"/>
      <c r="FT11" s="268"/>
      <c r="FU11" s="268"/>
      <c r="FV11" s="268"/>
      <c r="FW11" s="268"/>
      <c r="FX11" s="268"/>
      <c r="FY11" s="268"/>
      <c r="FZ11" s="268"/>
      <c r="GA11" s="268"/>
      <c r="GB11" s="268"/>
      <c r="GC11" s="268"/>
      <c r="GD11" s="264"/>
      <c r="GE11" s="268"/>
      <c r="GF11" s="268"/>
      <c r="GG11" s="268">
        <v>2</v>
      </c>
      <c r="GH11" s="268">
        <v>0</v>
      </c>
      <c r="GI11" s="268"/>
      <c r="GJ11" s="268"/>
      <c r="GK11" s="268"/>
      <c r="GL11" s="268"/>
      <c r="GM11" s="268"/>
      <c r="GN11" s="268"/>
      <c r="GO11" s="268"/>
      <c r="GP11" s="268"/>
      <c r="GQ11" s="268"/>
      <c r="GR11" s="268"/>
      <c r="GS11" s="268"/>
      <c r="GT11" s="268"/>
      <c r="GU11" s="268"/>
      <c r="GV11" s="268"/>
      <c r="GW11" s="268"/>
      <c r="GX11" s="268"/>
      <c r="GY11" s="268"/>
      <c r="GZ11" s="268"/>
      <c r="HA11" s="268"/>
      <c r="HB11" s="268"/>
      <c r="HC11" s="268"/>
      <c r="HD11" s="268"/>
      <c r="HE11" s="268"/>
      <c r="HF11" s="268"/>
      <c r="HG11" s="268"/>
      <c r="HH11" s="268"/>
      <c r="HI11" s="268"/>
      <c r="HJ11" s="268"/>
      <c r="HK11" s="268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</row>
    <row r="12" spans="1:318" s="12" customFormat="1" ht="18" customHeight="1" x14ac:dyDescent="0.25">
      <c r="A12" s="66"/>
      <c r="B12" s="71"/>
      <c r="C12" s="1"/>
      <c r="D12" t="s">
        <v>465</v>
      </c>
      <c r="E12" s="1">
        <v>9270</v>
      </c>
      <c r="F12" s="1"/>
      <c r="G12"/>
      <c r="H12" s="1">
        <f t="shared" si="0"/>
        <v>12</v>
      </c>
      <c r="I12" s="14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270"/>
      <c r="FH12" s="274"/>
      <c r="FI12" s="270"/>
      <c r="FJ12" s="274"/>
      <c r="FK12" s="274"/>
      <c r="FL12" s="270"/>
      <c r="FM12" s="274"/>
      <c r="FN12" s="274"/>
      <c r="FO12" s="270"/>
      <c r="FP12" s="274"/>
      <c r="FQ12" s="274"/>
      <c r="FR12" s="274"/>
      <c r="FS12" s="274"/>
      <c r="FT12" s="274"/>
      <c r="FU12" s="274"/>
      <c r="FV12" s="274"/>
      <c r="FW12" s="274"/>
      <c r="FX12" s="274"/>
      <c r="FY12" s="274"/>
      <c r="FZ12" s="274"/>
      <c r="GA12" s="274"/>
      <c r="GB12" s="274"/>
      <c r="GC12" s="274"/>
      <c r="GD12" s="270"/>
      <c r="GE12" s="274"/>
      <c r="GF12" s="274"/>
      <c r="GG12" s="274"/>
      <c r="GH12" s="274"/>
      <c r="GI12" s="274"/>
      <c r="GJ12" s="274"/>
      <c r="GK12" s="274"/>
      <c r="GL12" s="274"/>
      <c r="GM12" s="274"/>
      <c r="GN12" s="274"/>
      <c r="GO12" s="274"/>
      <c r="GP12" s="274"/>
      <c r="GQ12" s="274"/>
      <c r="GR12" s="274"/>
      <c r="GS12" s="274"/>
      <c r="GT12" s="274"/>
      <c r="GU12" s="274"/>
      <c r="GV12" s="274"/>
      <c r="GW12" s="274"/>
      <c r="GX12" s="274"/>
      <c r="GY12" s="274"/>
      <c r="GZ12" s="274"/>
      <c r="HA12" s="274"/>
      <c r="HB12" s="274"/>
      <c r="HC12" s="274"/>
      <c r="HD12" s="274"/>
      <c r="HE12" s="274"/>
      <c r="HF12" s="274"/>
      <c r="HG12" s="274"/>
      <c r="HH12" s="274"/>
      <c r="HI12" s="274"/>
      <c r="HJ12" s="274"/>
      <c r="HK12" s="274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268"/>
      <c r="KC12" s="268">
        <f>1+6</f>
        <v>7</v>
      </c>
      <c r="KD12" s="268"/>
      <c r="KE12" s="268"/>
      <c r="KF12" s="268"/>
      <c r="KG12" s="268"/>
      <c r="KH12" s="268">
        <f>2+3</f>
        <v>5</v>
      </c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</row>
    <row r="13" spans="1:318" ht="18" customHeight="1" x14ac:dyDescent="0.25">
      <c r="A13" s="14">
        <v>2</v>
      </c>
      <c r="B13" s="13" t="s">
        <v>273</v>
      </c>
      <c r="C13" s="1">
        <v>6735</v>
      </c>
      <c r="D13" s="4" t="s">
        <v>274</v>
      </c>
      <c r="E13" s="1">
        <v>11110</v>
      </c>
      <c r="F13" s="1">
        <v>2013</v>
      </c>
      <c r="G13" s="4" t="s">
        <v>275</v>
      </c>
      <c r="H13" s="1">
        <f t="shared" si="0"/>
        <v>127</v>
      </c>
      <c r="I13" s="14">
        <f>Tabuľka119[[#This Row],[Stĺpec16]]+Tabuľka119[[#This Row],[Stĺpec23]]+Tabuľka119[[#This Row],[Stĺpec89]]+Tabuľka119[[#This Row],[Stĺpec90]]+Tabuľka119[[#This Row],[Stĺpec98]]+Tabuľka119[[#This Row],[Stĺpec101]]+Tabuľka119[[#This Row],[Stĺpec116]]+Tabuľka119[[#This Row],[Stĺpec117]]+Tabuľka119[[#This Row],[Stĺpec124]]+Tabuľka119[[#This Row],[Stĺpec125]]+Tabuľka119[[#This Row],[Stĺpec139]]+Tabuľka119[[#This Row],[Stĺpec140]]+Tabuľka119[[#This Row],[Stĺpec147]]+Tabuľka119[[#This Row],[Stĺpec148]]+Tabuľka119[[#This Row],[Stĺpec213]]</f>
        <v>118</v>
      </c>
      <c r="J13" s="264"/>
      <c r="K13" s="264"/>
      <c r="L13" s="264"/>
      <c r="M13" s="264"/>
      <c r="N13" s="264"/>
      <c r="O13" s="264">
        <f>1</f>
        <v>1</v>
      </c>
      <c r="P13" s="264">
        <f>4+2</f>
        <v>6</v>
      </c>
      <c r="Q13" s="264"/>
      <c r="R13" s="264"/>
      <c r="S13" s="264"/>
      <c r="T13" s="264"/>
      <c r="U13" s="264"/>
      <c r="V13" s="264">
        <f>0+3</f>
        <v>3</v>
      </c>
      <c r="W13" s="264">
        <f>4+4</f>
        <v>8</v>
      </c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  <c r="AM13" s="264"/>
      <c r="AN13" s="264"/>
      <c r="AO13" s="264"/>
      <c r="AP13" s="264"/>
      <c r="AQ13" s="264"/>
      <c r="AR13" s="264"/>
      <c r="AS13" s="264"/>
      <c r="AT13" s="264"/>
      <c r="AU13" s="264"/>
      <c r="AV13" s="264"/>
      <c r="AW13" s="264"/>
      <c r="AX13" s="264"/>
      <c r="AY13" s="264"/>
      <c r="AZ13" s="264"/>
      <c r="BA13" s="264"/>
      <c r="BB13" s="264"/>
      <c r="BC13" s="264"/>
      <c r="BD13" s="264"/>
      <c r="BE13" s="264"/>
      <c r="BF13" s="264"/>
      <c r="BG13" s="264"/>
      <c r="BH13" s="264"/>
      <c r="BI13" s="264"/>
      <c r="BJ13" s="264"/>
      <c r="BK13" s="264"/>
      <c r="BL13" s="264"/>
      <c r="BM13" s="264"/>
      <c r="BN13" s="264"/>
      <c r="BO13" s="264"/>
      <c r="BP13" s="264"/>
      <c r="BQ13" s="264"/>
      <c r="BR13" s="264"/>
      <c r="BS13" s="264"/>
      <c r="BT13" s="264"/>
      <c r="BU13" s="264"/>
      <c r="BV13" s="264"/>
      <c r="BW13" s="264"/>
      <c r="BX13" s="264"/>
      <c r="BY13" s="264"/>
      <c r="BZ13" s="264"/>
      <c r="CA13" s="264"/>
      <c r="CB13" s="264"/>
      <c r="CC13" s="264"/>
      <c r="CD13" s="264"/>
      <c r="CE13" s="264"/>
      <c r="CF13" s="264"/>
      <c r="CG13" s="264"/>
      <c r="CH13" s="264"/>
      <c r="CI13" s="264"/>
      <c r="CJ13" s="264"/>
      <c r="CK13" s="264"/>
      <c r="CL13" s="264"/>
      <c r="CM13" s="264"/>
      <c r="CN13" s="264">
        <f>0+3</f>
        <v>3</v>
      </c>
      <c r="CO13" s="264">
        <f>0+5</f>
        <v>5</v>
      </c>
      <c r="CP13" s="264"/>
      <c r="CQ13" s="264"/>
      <c r="CR13" s="264"/>
      <c r="CS13" s="264"/>
      <c r="CT13" s="264"/>
      <c r="CU13" s="264"/>
      <c r="CV13" s="264">
        <v>5</v>
      </c>
      <c r="CW13" s="264"/>
      <c r="CX13" s="264"/>
      <c r="CY13" s="264">
        <f>3+5</f>
        <v>8</v>
      </c>
      <c r="CZ13" s="264"/>
      <c r="DA13" s="264"/>
      <c r="DB13" s="264"/>
      <c r="DC13" s="264"/>
      <c r="DD13" s="264"/>
      <c r="DE13" s="264"/>
      <c r="DF13" s="264"/>
      <c r="DG13" s="264"/>
      <c r="DH13" s="264"/>
      <c r="DI13" s="264"/>
      <c r="DJ13" s="264"/>
      <c r="DK13" s="264"/>
      <c r="DL13" s="264"/>
      <c r="DM13" s="264"/>
      <c r="DN13" s="264">
        <f>5+6</f>
        <v>11</v>
      </c>
      <c r="DO13" s="264">
        <f>3+6</f>
        <v>9</v>
      </c>
      <c r="DP13" s="264"/>
      <c r="DQ13" s="264"/>
      <c r="DR13" s="264"/>
      <c r="DS13" s="264"/>
      <c r="DT13" s="264"/>
      <c r="DU13" s="264"/>
      <c r="DV13" s="264">
        <f>1+4</f>
        <v>5</v>
      </c>
      <c r="DW13" s="264">
        <f>5+7</f>
        <v>12</v>
      </c>
      <c r="DX13" s="264"/>
      <c r="DY13" s="264"/>
      <c r="DZ13" s="264"/>
      <c r="EA13" s="264"/>
      <c r="EB13" s="264"/>
      <c r="EC13" s="264"/>
      <c r="ED13" s="264"/>
      <c r="EE13" s="264"/>
      <c r="EF13" s="264"/>
      <c r="EG13" s="264"/>
      <c r="EH13" s="264"/>
      <c r="EI13" s="264"/>
      <c r="EJ13" s="264"/>
      <c r="EK13" s="264"/>
      <c r="EL13" s="264"/>
      <c r="EM13" s="264"/>
      <c r="EN13" s="264"/>
      <c r="EO13" s="264"/>
      <c r="EP13" s="264"/>
      <c r="EQ13" s="264"/>
      <c r="ER13" s="264"/>
      <c r="ES13" s="264"/>
      <c r="ET13" s="264"/>
      <c r="EU13" s="264"/>
      <c r="EV13" s="264">
        <f>3+5</f>
        <v>8</v>
      </c>
      <c r="EW13" s="264">
        <f>3+7</f>
        <v>10</v>
      </c>
      <c r="EX13" s="264"/>
      <c r="EY13" s="264"/>
      <c r="EZ13" s="264"/>
      <c r="FA13" s="264"/>
      <c r="FB13" s="264"/>
      <c r="FC13" s="264"/>
      <c r="FD13" s="264">
        <f>6+6</f>
        <v>12</v>
      </c>
      <c r="FE13" s="264">
        <f>4+8</f>
        <v>12</v>
      </c>
      <c r="FF13" s="264"/>
      <c r="FG13" s="264"/>
      <c r="FH13" s="264"/>
      <c r="FI13" s="264"/>
      <c r="FJ13" s="264"/>
      <c r="FK13" s="264"/>
      <c r="FL13" s="264"/>
      <c r="FM13" s="264"/>
      <c r="FN13" s="264"/>
      <c r="FO13" s="264"/>
      <c r="FP13" s="264"/>
      <c r="FQ13" s="264"/>
      <c r="FR13" s="264"/>
      <c r="FS13" s="264"/>
      <c r="FT13" s="264"/>
      <c r="FU13" s="264"/>
      <c r="FV13" s="264"/>
      <c r="FW13" s="264"/>
      <c r="FX13" s="264"/>
      <c r="FY13" s="264"/>
      <c r="FZ13" s="264"/>
      <c r="GA13" s="264"/>
      <c r="GB13" s="264"/>
      <c r="GC13" s="264"/>
      <c r="GD13" s="264"/>
      <c r="GE13" s="268"/>
      <c r="GF13" s="268"/>
      <c r="GG13" s="268"/>
      <c r="GH13" s="268"/>
      <c r="GI13" s="268">
        <f>1+3</f>
        <v>4</v>
      </c>
      <c r="GJ13" s="268"/>
      <c r="GK13" s="268"/>
      <c r="GL13" s="268"/>
      <c r="GM13" s="268"/>
      <c r="GN13" s="268"/>
      <c r="GO13" s="268"/>
      <c r="GP13" s="268"/>
      <c r="GQ13" s="268"/>
      <c r="GR13" s="268">
        <v>2</v>
      </c>
      <c r="GS13" s="268"/>
      <c r="GT13" s="268"/>
      <c r="GU13" s="268"/>
      <c r="GV13" s="268"/>
      <c r="GW13" s="268"/>
      <c r="GX13" s="268"/>
      <c r="GY13" s="268"/>
      <c r="GZ13" s="268">
        <v>3</v>
      </c>
      <c r="HA13" s="268"/>
      <c r="HB13" s="268"/>
      <c r="HC13" s="268"/>
      <c r="HD13" s="268"/>
      <c r="HE13" s="268"/>
      <c r="HF13" s="268"/>
      <c r="HG13" s="268"/>
      <c r="HH13" s="268"/>
      <c r="HI13" s="268"/>
      <c r="HJ13" s="268"/>
      <c r="HK13" s="268"/>
      <c r="HL13" s="268"/>
      <c r="HM13" s="268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</row>
    <row r="14" spans="1:318" ht="18" customHeight="1" x14ac:dyDescent="0.25">
      <c r="A14" s="14">
        <v>3</v>
      </c>
      <c r="B14" s="54" t="s">
        <v>276</v>
      </c>
      <c r="C14" s="1">
        <v>6705</v>
      </c>
      <c r="D14" s="4" t="s">
        <v>277</v>
      </c>
      <c r="E14" s="1">
        <v>6970</v>
      </c>
      <c r="G14" s="4" t="s">
        <v>221</v>
      </c>
      <c r="H14" s="1">
        <f t="shared" si="0"/>
        <v>28</v>
      </c>
      <c r="I14" s="14">
        <f>H14</f>
        <v>28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>
        <v>8</v>
      </c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F14">
        <f>4+3</f>
        <v>7</v>
      </c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>
        <v>1</v>
      </c>
      <c r="KE14" s="1"/>
      <c r="KF14" s="1"/>
      <c r="KG14" s="1"/>
      <c r="KH14" s="1">
        <v>3</v>
      </c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>
        <v>6</v>
      </c>
      <c r="KZ14" s="1">
        <v>3</v>
      </c>
      <c r="LA14" s="1"/>
      <c r="LB14" s="1"/>
      <c r="LC14" s="1"/>
      <c r="LD14" s="1"/>
      <c r="LE14" s="1"/>
      <c r="LF14" s="1"/>
    </row>
    <row r="15" spans="1:318" ht="18" customHeight="1" x14ac:dyDescent="0.25">
      <c r="A15" s="14">
        <v>4</v>
      </c>
      <c r="B15" s="54" t="s">
        <v>278</v>
      </c>
      <c r="C15" s="1">
        <v>7089</v>
      </c>
      <c r="D15" s="4" t="s">
        <v>279</v>
      </c>
      <c r="E15" s="1">
        <v>10639</v>
      </c>
      <c r="G15" s="4" t="s">
        <v>232</v>
      </c>
      <c r="H15" s="1">
        <f t="shared" si="0"/>
        <v>9</v>
      </c>
      <c r="I15" s="14">
        <f>H15</f>
        <v>9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268"/>
      <c r="FH15" s="264">
        <v>2</v>
      </c>
      <c r="FI15" s="264">
        <v>1</v>
      </c>
      <c r="FJ15" s="268"/>
      <c r="FK15" s="268"/>
      <c r="FL15" s="264"/>
      <c r="FM15" s="268"/>
      <c r="FN15" s="268"/>
      <c r="FO15" s="264"/>
      <c r="FP15" s="268"/>
      <c r="FQ15" s="268"/>
      <c r="FR15" s="268"/>
      <c r="FS15" s="268"/>
      <c r="FT15" s="268"/>
      <c r="FU15" s="268"/>
      <c r="FV15" s="268"/>
      <c r="FW15" s="268"/>
      <c r="FX15" s="268"/>
      <c r="FY15" s="268"/>
      <c r="FZ15" s="268"/>
      <c r="GA15" s="268"/>
      <c r="GB15" s="268"/>
      <c r="GC15" s="268"/>
      <c r="GD15" s="264"/>
      <c r="GE15" s="268"/>
      <c r="GF15" s="268"/>
      <c r="GG15" s="268"/>
      <c r="GH15" s="268"/>
      <c r="GI15" s="268"/>
      <c r="GJ15" s="268"/>
      <c r="GK15" s="268"/>
      <c r="GL15" s="268"/>
      <c r="GM15" s="268"/>
      <c r="GN15" s="268"/>
      <c r="GO15" s="268"/>
      <c r="GP15" s="268"/>
      <c r="GQ15" s="268"/>
      <c r="GR15" s="268"/>
      <c r="GS15" s="268"/>
      <c r="GT15" s="268"/>
      <c r="GU15" s="268"/>
      <c r="GV15" s="268"/>
      <c r="GW15" s="268"/>
      <c r="GX15" s="268"/>
      <c r="GY15" s="268"/>
      <c r="GZ15" s="268"/>
      <c r="HA15" s="268"/>
      <c r="HB15" s="268"/>
      <c r="HC15" s="268"/>
      <c r="HD15" s="268"/>
      <c r="HE15" s="268"/>
      <c r="HF15" s="268"/>
      <c r="HG15" s="268">
        <v>3</v>
      </c>
      <c r="HH15" s="268">
        <v>3</v>
      </c>
      <c r="HI15" s="268"/>
      <c r="HJ15" s="268"/>
      <c r="HK15" s="268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</row>
    <row r="16" spans="1:318" ht="18" customHeight="1" x14ac:dyDescent="0.25">
      <c r="A16" s="66"/>
      <c r="B16" s="54" t="s">
        <v>280</v>
      </c>
      <c r="C16" s="1">
        <v>7779</v>
      </c>
      <c r="D16" s="4" t="s">
        <v>281</v>
      </c>
      <c r="E16" s="1">
        <v>11639</v>
      </c>
      <c r="F16" s="1">
        <v>2016</v>
      </c>
      <c r="G16" s="4" t="s">
        <v>206</v>
      </c>
      <c r="H16" s="1">
        <f>SUM(J16:LL16)</f>
        <v>9</v>
      </c>
      <c r="I16" s="14">
        <f>Tabuľka119[[#This Row],[Stĺpec8]]</f>
        <v>9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274"/>
      <c r="IK16" s="274"/>
      <c r="IL16" s="274"/>
      <c r="IM16" s="274"/>
      <c r="IN16" s="274"/>
      <c r="IO16" s="274"/>
      <c r="IP16" s="274"/>
      <c r="IQ16" s="274"/>
      <c r="IR16" s="274"/>
      <c r="IS16" s="274"/>
      <c r="IT16" s="274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268"/>
      <c r="JT16" s="268"/>
      <c r="JU16" s="268">
        <f>2+7</f>
        <v>9</v>
      </c>
      <c r="JV16" s="268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</row>
    <row r="17" spans="1:318" s="12" customFormat="1" ht="18" customHeight="1" x14ac:dyDescent="0.25">
      <c r="A17" s="14">
        <v>6</v>
      </c>
      <c r="B17" s="13" t="s">
        <v>282</v>
      </c>
      <c r="C17" s="1">
        <v>8008</v>
      </c>
      <c r="D17" t="s">
        <v>283</v>
      </c>
      <c r="E17" s="1">
        <v>7673</v>
      </c>
      <c r="F17" s="1"/>
      <c r="G17" t="s">
        <v>284</v>
      </c>
      <c r="H17" s="1">
        <f t="shared" si="0"/>
        <v>2</v>
      </c>
      <c r="I17" s="14">
        <f>SUM(H17:H17)</f>
        <v>2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/>
      <c r="FH17"/>
      <c r="FI17">
        <v>0</v>
      </c>
      <c r="FJ17">
        <v>2</v>
      </c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</row>
    <row r="18" spans="1:318" ht="18" customHeight="1" x14ac:dyDescent="0.25">
      <c r="A18" s="14">
        <v>7</v>
      </c>
      <c r="B18" s="54" t="s">
        <v>285</v>
      </c>
      <c r="C18" s="1">
        <v>5719</v>
      </c>
      <c r="D18" s="4" t="s">
        <v>286</v>
      </c>
      <c r="E18" s="1">
        <v>9363</v>
      </c>
      <c r="F18" s="1">
        <v>2011</v>
      </c>
      <c r="G18" s="4" t="s">
        <v>146</v>
      </c>
      <c r="H18" s="1">
        <f>SUM(J18:LL18)</f>
        <v>1</v>
      </c>
      <c r="I18" s="14">
        <f>Tabuľka119[[#This Row],[Stĺpec8]]</f>
        <v>1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T18">
        <v>0</v>
      </c>
      <c r="EU18">
        <v>0</v>
      </c>
      <c r="FB18">
        <v>0</v>
      </c>
      <c r="FC18">
        <v>0</v>
      </c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268"/>
      <c r="IK18" s="268"/>
      <c r="IL18" s="268"/>
      <c r="IM18" s="268"/>
      <c r="IN18" s="268"/>
      <c r="IO18" s="268"/>
      <c r="IP18" s="268"/>
      <c r="IQ18" s="268"/>
      <c r="IR18" s="268"/>
      <c r="IS18" s="268">
        <v>0</v>
      </c>
      <c r="IT18" s="268">
        <v>1</v>
      </c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</row>
    <row r="19" spans="1:318" s="12" customFormat="1" ht="18" customHeight="1" x14ac:dyDescent="0.25">
      <c r="A19" s="14">
        <v>8</v>
      </c>
      <c r="B19" s="54" t="s">
        <v>287</v>
      </c>
      <c r="C19" s="1">
        <v>8603</v>
      </c>
      <c r="D19" t="s">
        <v>288</v>
      </c>
      <c r="E19" s="1">
        <v>11349</v>
      </c>
      <c r="F19" s="1"/>
      <c r="G19" t="s">
        <v>289</v>
      </c>
      <c r="H19" s="1">
        <f t="shared" si="0"/>
        <v>0</v>
      </c>
      <c r="I19" s="14">
        <f>H19</f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>
        <v>0</v>
      </c>
      <c r="AX19" s="1"/>
      <c r="AY19" s="1"/>
      <c r="AZ19" s="1">
        <v>0</v>
      </c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</row>
    <row r="20" spans="1:318" ht="18" customHeight="1" x14ac:dyDescent="0.25">
      <c r="B20" s="54" t="s">
        <v>290</v>
      </c>
      <c r="C20" s="1">
        <v>6693</v>
      </c>
      <c r="D20" s="106" t="s">
        <v>291</v>
      </c>
      <c r="E20" s="1">
        <v>10198</v>
      </c>
      <c r="F20" s="1">
        <v>2014</v>
      </c>
      <c r="G20" s="4" t="s">
        <v>292</v>
      </c>
      <c r="H20" s="1">
        <f t="shared" si="0"/>
        <v>0</v>
      </c>
      <c r="I20" s="14">
        <f>SUM(H20:H21)</f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>
        <v>0</v>
      </c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</row>
    <row r="21" spans="1:318" ht="18" customHeight="1" x14ac:dyDescent="0.25">
      <c r="B21" s="71"/>
      <c r="D21" s="4" t="s">
        <v>293</v>
      </c>
      <c r="E21" s="1">
        <v>11409</v>
      </c>
      <c r="G21" s="4"/>
      <c r="H21" s="1">
        <f t="shared" si="0"/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>
        <v>0</v>
      </c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>
        <v>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</row>
    <row r="22" spans="1:318" ht="18" customHeight="1" x14ac:dyDescent="0.25">
      <c r="A22" s="66"/>
      <c r="B22" s="54" t="s">
        <v>294</v>
      </c>
      <c r="C22" s="1">
        <v>9109</v>
      </c>
      <c r="D22" s="4" t="s">
        <v>295</v>
      </c>
      <c r="E22" s="1">
        <v>8821</v>
      </c>
      <c r="F22" s="1">
        <v>2008</v>
      </c>
      <c r="G22" s="4" t="s">
        <v>206</v>
      </c>
      <c r="H22" s="1">
        <f t="shared" si="0"/>
        <v>0</v>
      </c>
      <c r="I22" s="14">
        <f>Tabuľka119[[#This Row],[Stĺpec8]]</f>
        <v>0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274"/>
      <c r="IK22" s="274"/>
      <c r="IL22" s="274"/>
      <c r="IM22" s="274"/>
      <c r="IN22" s="274"/>
      <c r="IO22" s="274"/>
      <c r="IP22" s="274"/>
      <c r="IQ22" s="274"/>
      <c r="IR22" s="274"/>
      <c r="IS22" s="274"/>
      <c r="IT22" s="274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268"/>
      <c r="JT22" s="268"/>
      <c r="JU22" s="268"/>
      <c r="JV22" s="268">
        <v>0</v>
      </c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</row>
    <row r="23" spans="1:318" s="12" customFormat="1" ht="18" customHeight="1" x14ac:dyDescent="0.25">
      <c r="A23" s="14"/>
      <c r="B23" s="54" t="s">
        <v>296</v>
      </c>
      <c r="C23" s="1">
        <v>7761</v>
      </c>
      <c r="D23" t="s">
        <v>297</v>
      </c>
      <c r="E23" s="1">
        <v>9908</v>
      </c>
      <c r="F23" s="1"/>
      <c r="G23" t="s">
        <v>200</v>
      </c>
      <c r="H23" s="304">
        <f t="shared" si="0"/>
        <v>0</v>
      </c>
      <c r="I23" s="14">
        <f>Tabuľka119[[#This Row],[Stĺpec8]]</f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>
        <v>0</v>
      </c>
      <c r="FH23" s="1">
        <v>0</v>
      </c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</row>
    <row r="24" spans="1:318" s="242" customFormat="1" ht="18" customHeight="1" x14ac:dyDescent="0.25">
      <c r="A24" s="238">
        <v>11</v>
      </c>
      <c r="B24" s="239" t="s">
        <v>265</v>
      </c>
      <c r="C24" s="240"/>
      <c r="D24" s="241"/>
      <c r="E24" s="240"/>
      <c r="F24" s="240"/>
      <c r="G24" s="241"/>
      <c r="H24" s="1">
        <f t="shared" si="0"/>
        <v>0</v>
      </c>
      <c r="I24" s="238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  <c r="BA24" s="240"/>
      <c r="BB24" s="240"/>
      <c r="BC24" s="240"/>
      <c r="BD24" s="240"/>
      <c r="BE24" s="240"/>
      <c r="BF24" s="240"/>
      <c r="BG24" s="240"/>
      <c r="BH24" s="240"/>
      <c r="BI24" s="240"/>
      <c r="BJ24" s="240"/>
      <c r="BK24" s="240"/>
      <c r="BL24" s="240"/>
      <c r="BM24" s="240"/>
      <c r="BN24" s="240"/>
      <c r="BO24" s="240"/>
      <c r="BP24" s="240"/>
      <c r="BQ24" s="240"/>
      <c r="BR24" s="240"/>
      <c r="BS24" s="240"/>
      <c r="BT24" s="240"/>
      <c r="BU24" s="240"/>
      <c r="BV24" s="240"/>
      <c r="BW24" s="240"/>
      <c r="BX24" s="240"/>
      <c r="BY24" s="240"/>
      <c r="BZ24" s="240"/>
      <c r="CA24" s="240"/>
      <c r="CB24" s="240"/>
      <c r="CC24" s="240"/>
      <c r="CD24" s="240"/>
      <c r="CE24" s="240"/>
      <c r="CF24" s="240"/>
      <c r="CG24" s="240"/>
      <c r="CH24" s="240"/>
      <c r="CI24" s="240"/>
      <c r="CJ24" s="240"/>
      <c r="CK24" s="240"/>
      <c r="CL24" s="240"/>
      <c r="CM24" s="240"/>
      <c r="CN24" s="240"/>
      <c r="CO24" s="240"/>
      <c r="CP24" s="240"/>
      <c r="CQ24" s="240"/>
      <c r="CR24" s="240"/>
      <c r="CS24" s="240"/>
      <c r="CT24" s="240"/>
      <c r="CU24" s="240"/>
      <c r="CV24" s="240"/>
      <c r="CW24" s="240"/>
      <c r="CX24" s="240"/>
      <c r="CY24" s="240"/>
      <c r="CZ24" s="240"/>
      <c r="DA24" s="240"/>
      <c r="DB24" s="240"/>
      <c r="DC24" s="240"/>
      <c r="DD24" s="240"/>
      <c r="DE24" s="240"/>
      <c r="DF24" s="240"/>
      <c r="DG24" s="240"/>
      <c r="DH24" s="240"/>
      <c r="DI24" s="240"/>
      <c r="DJ24" s="240"/>
      <c r="DK24" s="240"/>
      <c r="DL24" s="240"/>
      <c r="DM24" s="240"/>
      <c r="DN24" s="240"/>
      <c r="DO24" s="240"/>
      <c r="DP24" s="240"/>
      <c r="DQ24" s="240"/>
      <c r="DR24" s="240"/>
      <c r="DS24" s="240"/>
      <c r="DT24" s="240"/>
      <c r="DU24" s="240"/>
      <c r="DV24" s="240"/>
      <c r="DW24" s="240"/>
      <c r="DX24" s="240"/>
      <c r="DY24" s="240"/>
      <c r="DZ24" s="240"/>
      <c r="EA24" s="240"/>
      <c r="EB24" s="240"/>
      <c r="EC24" s="240"/>
      <c r="ED24" s="240"/>
      <c r="EE24" s="240"/>
      <c r="EF24" s="240"/>
      <c r="EG24" s="240"/>
      <c r="EH24" s="240"/>
      <c r="EI24" s="240"/>
      <c r="EJ24" s="240"/>
      <c r="EK24" s="240"/>
      <c r="EL24" s="240"/>
      <c r="EM24" s="240"/>
      <c r="EN24" s="240"/>
      <c r="EO24" s="240"/>
      <c r="EP24" s="240"/>
      <c r="EQ24" s="240"/>
      <c r="ER24" s="240"/>
      <c r="ES24" s="240"/>
      <c r="ET24" s="240"/>
      <c r="EU24" s="240"/>
      <c r="EV24" s="240"/>
      <c r="EW24" s="240"/>
      <c r="EX24" s="240"/>
      <c r="EY24" s="240"/>
      <c r="EZ24" s="240"/>
      <c r="FA24" s="240"/>
      <c r="FB24" s="240"/>
      <c r="FC24" s="240"/>
      <c r="FD24" s="240"/>
      <c r="FE24" s="240"/>
      <c r="FF24" s="240"/>
      <c r="FG24" s="240"/>
      <c r="FH24" s="240"/>
      <c r="FI24" s="240"/>
      <c r="FJ24" s="240"/>
      <c r="FK24" s="240"/>
      <c r="FL24" s="240"/>
      <c r="FM24" s="240"/>
      <c r="FN24" s="240"/>
      <c r="FO24" s="240"/>
      <c r="FP24" s="240"/>
      <c r="FQ24" s="240"/>
      <c r="FR24" s="240"/>
      <c r="FS24" s="240"/>
      <c r="FT24" s="240"/>
      <c r="FU24" s="240"/>
      <c r="FV24" s="240"/>
      <c r="FW24" s="240"/>
      <c r="FX24" s="240"/>
      <c r="FY24" s="240"/>
      <c r="FZ24" s="240"/>
      <c r="GA24" s="240"/>
      <c r="GB24" s="240"/>
      <c r="GC24" s="240"/>
      <c r="GD24" s="240"/>
      <c r="GE24" s="240"/>
      <c r="GF24" s="240"/>
      <c r="GG24" s="240"/>
      <c r="GH24" s="240"/>
      <c r="GI24" s="240"/>
      <c r="GJ24" s="240"/>
      <c r="GK24" s="240"/>
      <c r="GL24" s="240"/>
      <c r="GM24" s="240"/>
      <c r="GN24" s="240"/>
      <c r="GO24" s="240"/>
      <c r="GP24" s="240"/>
      <c r="GQ24" s="240"/>
      <c r="GR24" s="240"/>
      <c r="GS24" s="240"/>
      <c r="GT24" s="240"/>
      <c r="GU24" s="240"/>
      <c r="GV24" s="240"/>
      <c r="GW24" s="240"/>
      <c r="GX24" s="240"/>
      <c r="GY24" s="240"/>
      <c r="GZ24" s="240"/>
      <c r="HA24" s="240"/>
      <c r="HB24" s="240"/>
      <c r="HC24" s="240"/>
      <c r="HD24" s="240"/>
      <c r="HE24" s="240"/>
      <c r="HF24" s="240"/>
      <c r="HG24" s="240"/>
      <c r="HH24" s="240"/>
      <c r="HI24" s="240"/>
      <c r="HJ24" s="240"/>
      <c r="HK24" s="240"/>
      <c r="HL24" s="240"/>
      <c r="HM24" s="240"/>
      <c r="HN24" s="240"/>
      <c r="HO24" s="240"/>
      <c r="HP24" s="240"/>
      <c r="HQ24" s="240"/>
      <c r="HR24" s="240"/>
      <c r="HS24" s="240"/>
      <c r="HT24" s="240"/>
      <c r="HU24" s="240"/>
      <c r="HV24" s="240"/>
      <c r="HW24" s="240"/>
      <c r="HX24" s="240"/>
      <c r="HY24" s="240"/>
      <c r="HZ24" s="240"/>
      <c r="IA24" s="240"/>
      <c r="IB24" s="240"/>
      <c r="IC24" s="240"/>
      <c r="ID24" s="240"/>
      <c r="IE24" s="240"/>
      <c r="IF24" s="240"/>
      <c r="IG24" s="240"/>
      <c r="IH24" s="240"/>
      <c r="II24" s="240"/>
      <c r="IJ24" s="240"/>
      <c r="IK24" s="240"/>
      <c r="IL24" s="240"/>
      <c r="IM24" s="240"/>
      <c r="IN24" s="240"/>
      <c r="IO24" s="240"/>
      <c r="IP24" s="240"/>
      <c r="IQ24" s="240"/>
      <c r="IR24" s="240"/>
      <c r="IS24" s="240"/>
      <c r="IT24" s="240"/>
      <c r="IU24" s="240"/>
      <c r="IV24" s="240"/>
      <c r="IW24" s="240"/>
      <c r="IX24" s="240"/>
      <c r="IY24" s="240"/>
      <c r="IZ24" s="240"/>
      <c r="JA24" s="240"/>
      <c r="JB24" s="240"/>
      <c r="JC24" s="240"/>
      <c r="JD24" s="240"/>
      <c r="JE24" s="240"/>
      <c r="JF24" s="240"/>
      <c r="JG24" s="240"/>
      <c r="JH24" s="240"/>
      <c r="JI24" s="240"/>
      <c r="JJ24" s="240"/>
      <c r="JK24" s="240"/>
      <c r="JL24" s="240"/>
      <c r="JM24" s="240"/>
      <c r="JN24" s="240"/>
      <c r="JO24" s="240"/>
      <c r="JP24" s="240"/>
      <c r="JQ24" s="240"/>
      <c r="JR24" s="240"/>
      <c r="JS24" s="240"/>
      <c r="JT24" s="240"/>
      <c r="JU24" s="240"/>
      <c r="JV24" s="240"/>
      <c r="JW24" s="240"/>
      <c r="JX24" s="240"/>
      <c r="JY24" s="240"/>
      <c r="JZ24" s="240"/>
      <c r="KA24" s="240"/>
      <c r="KB24" s="240"/>
      <c r="KC24" s="240"/>
      <c r="KD24" s="240"/>
      <c r="KE24" s="240"/>
      <c r="KF24" s="240"/>
      <c r="KG24" s="240"/>
      <c r="KH24" s="240"/>
      <c r="KI24" s="240"/>
      <c r="KJ24" s="240"/>
      <c r="KK24" s="240"/>
      <c r="KL24" s="240"/>
      <c r="KM24" s="240"/>
      <c r="KN24" s="240"/>
      <c r="KO24" s="240"/>
      <c r="KP24" s="240"/>
      <c r="KQ24" s="240"/>
      <c r="KR24" s="240"/>
      <c r="KS24" s="240"/>
      <c r="KT24" s="240"/>
      <c r="KU24" s="240"/>
      <c r="KV24" s="240"/>
      <c r="KW24" s="240"/>
      <c r="KX24" s="240"/>
      <c r="KY24" s="240"/>
      <c r="KZ24" s="240"/>
      <c r="LA24" s="240"/>
      <c r="LB24" s="240"/>
      <c r="LC24" s="240"/>
      <c r="LD24" s="240"/>
      <c r="LE24" s="240"/>
      <c r="LF24" s="240"/>
    </row>
    <row r="25" spans="1:318" ht="15.9" customHeight="1" x14ac:dyDescent="0.25"/>
    <row r="26" spans="1:318" ht="15.9" customHeight="1" x14ac:dyDescent="0.25"/>
  </sheetData>
  <mergeCells count="11">
    <mergeCell ref="H5:H7"/>
    <mergeCell ref="I5:I7"/>
    <mergeCell ref="A1:G1"/>
    <mergeCell ref="A3:G3"/>
    <mergeCell ref="A5:A7"/>
    <mergeCell ref="B5:B7"/>
    <mergeCell ref="C5:C7"/>
    <mergeCell ref="D5:D7"/>
    <mergeCell ref="E5:E7"/>
    <mergeCell ref="F5:F7"/>
    <mergeCell ref="G5:G7"/>
  </mergeCells>
  <conditionalFormatting sqref="J10:DZ12 J8:CN8 CP8:DZ8 EQ9:LF9 J9:DL9 DN9:DZ9 EQ11:LF11 ER10:GU10 EQ8:EV8 EX8:LF8 GW10:LF10 EQ12:KB12 KD12:LF12">
    <cfRule type="top10" dxfId="32" priority="121" rank="15"/>
  </conditionalFormatting>
  <conditionalFormatting sqref="J13:U13 HA13:LF13 W13:GY13">
    <cfRule type="top10" dxfId="31" priority="134" rank="15"/>
  </conditionalFormatting>
  <pageMargins left="0.75" right="0.75" top="1" bottom="1" header="0.4921259845" footer="0.4921259845"/>
  <pageSetup paperSize="9" orientation="portrait" r:id="rId1"/>
  <headerFooter alignWithMargins="0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LF60"/>
  <sheetViews>
    <sheetView showGridLines="0" workbookViewId="0">
      <pane xSplit="9" ySplit="7" topLeftCell="J8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3.2" x14ac:dyDescent="0.25"/>
  <cols>
    <col min="1" max="1" width="9.88671875" style="14" customWidth="1"/>
    <col min="2" max="2" width="26.6640625" style="13" customWidth="1"/>
    <col min="3" max="3" width="10.33203125" style="1" customWidth="1"/>
    <col min="4" max="4" width="20" customWidth="1"/>
    <col min="5" max="5" width="11.5546875" style="1" customWidth="1"/>
    <col min="6" max="6" width="9.88671875" style="1" customWidth="1"/>
    <col min="7" max="7" width="24.6640625" customWidth="1"/>
    <col min="8" max="8" width="9.88671875" style="1" customWidth="1"/>
    <col min="9" max="9" width="9.88671875" style="14" customWidth="1"/>
    <col min="10" max="30" width="4.6640625" customWidth="1"/>
    <col min="31" max="31" width="6.5546875" customWidth="1"/>
    <col min="32" max="32" width="5.88671875" customWidth="1"/>
    <col min="33" max="58" width="4.6640625" customWidth="1"/>
    <col min="59" max="59" width="6.33203125" customWidth="1"/>
    <col min="60" max="60" width="6.5546875" customWidth="1"/>
    <col min="61" max="61" width="6.33203125" customWidth="1"/>
    <col min="62" max="62" width="6.109375" customWidth="1"/>
    <col min="63" max="63" width="5.6640625" customWidth="1"/>
    <col min="64" max="64" width="6.109375" customWidth="1"/>
    <col min="65" max="65" width="6.33203125" customWidth="1"/>
    <col min="66" max="66" width="6.6640625" customWidth="1"/>
    <col min="67" max="67" width="7.88671875" customWidth="1"/>
    <col min="68" max="73" width="4.6640625" customWidth="1"/>
    <col min="74" max="74" width="10.33203125" customWidth="1"/>
    <col min="75" max="75" width="6" customWidth="1"/>
    <col min="76" max="76" width="6.33203125" customWidth="1"/>
    <col min="77" max="78" width="4.6640625" customWidth="1"/>
    <col min="79" max="79" width="6" customWidth="1"/>
    <col min="80" max="80" width="5.6640625" customWidth="1"/>
    <col min="81" max="81" width="9.33203125" customWidth="1"/>
    <col min="82" max="82" width="6.44140625" customWidth="1"/>
    <col min="83" max="83" width="5.88671875" customWidth="1"/>
    <col min="84" max="84" width="6.44140625" customWidth="1"/>
    <col min="85" max="86" width="4.6640625" customWidth="1"/>
    <col min="87" max="87" width="10.33203125" customWidth="1"/>
    <col min="88" max="218" width="4.6640625" customWidth="1"/>
    <col min="219" max="219" width="12.33203125" customWidth="1"/>
    <col min="220" max="258" width="4.6640625" customWidth="1"/>
    <col min="259" max="259" width="5.88671875" customWidth="1"/>
    <col min="260" max="260" width="5.5546875" customWidth="1"/>
    <col min="261" max="262" width="4.6640625" customWidth="1"/>
    <col min="263" max="263" width="5" customWidth="1"/>
    <col min="264" max="264" width="7.33203125" customWidth="1"/>
    <col min="265" max="265" width="5.44140625" customWidth="1"/>
    <col min="266" max="266" width="12.33203125" customWidth="1"/>
    <col min="267" max="277" width="4.6640625" customWidth="1"/>
    <col min="278" max="278" width="10.6640625" customWidth="1"/>
    <col min="279" max="318" width="4.6640625" customWidth="1"/>
  </cols>
  <sheetData>
    <row r="1" spans="1:318" ht="24.9" customHeight="1" x14ac:dyDescent="0.4">
      <c r="A1" s="337" t="s">
        <v>0</v>
      </c>
      <c r="B1" s="338"/>
      <c r="C1" s="338"/>
      <c r="D1" s="338"/>
      <c r="E1" s="338"/>
      <c r="F1" s="338"/>
      <c r="G1" s="338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305"/>
      <c r="KF1" s="305"/>
      <c r="KG1" s="305"/>
      <c r="KH1" s="305"/>
      <c r="KI1" s="305"/>
      <c r="KJ1" s="305"/>
      <c r="KK1" s="305"/>
      <c r="KL1" s="305"/>
      <c r="KM1" s="305"/>
      <c r="KN1" s="305"/>
      <c r="KO1" s="305"/>
      <c r="KP1" s="305"/>
      <c r="KQ1" s="305"/>
      <c r="KR1" s="305"/>
      <c r="KS1" s="305"/>
      <c r="KT1" s="305"/>
      <c r="KU1" s="305"/>
      <c r="KV1" s="305"/>
      <c r="KW1" s="305"/>
      <c r="KX1" s="305"/>
      <c r="KY1" s="305"/>
      <c r="KZ1" s="305"/>
      <c r="LA1" s="305"/>
      <c r="LB1" s="305"/>
      <c r="LC1" s="305"/>
      <c r="LD1" s="305"/>
      <c r="LE1" s="305"/>
      <c r="LF1" s="305"/>
    </row>
    <row r="2" spans="1:318" ht="15" customHeight="1" x14ac:dyDescent="0.4">
      <c r="A2" s="18"/>
      <c r="B2" s="14"/>
      <c r="D2" s="1"/>
      <c r="G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1" t="s">
        <v>1</v>
      </c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</row>
    <row r="3" spans="1:318" ht="24.9" customHeight="1" x14ac:dyDescent="0.4">
      <c r="A3" s="339" t="s">
        <v>298</v>
      </c>
      <c r="B3" s="339"/>
      <c r="C3" s="339"/>
      <c r="D3" s="339"/>
      <c r="E3" s="339"/>
      <c r="F3" s="339"/>
      <c r="G3" s="339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06"/>
      <c r="KF3" s="306"/>
      <c r="KG3" s="306"/>
      <c r="KH3" s="306"/>
      <c r="KI3" s="306"/>
      <c r="KJ3" s="306"/>
      <c r="KK3" s="306"/>
      <c r="KL3" s="306"/>
      <c r="KM3" s="306"/>
      <c r="KN3" s="306"/>
      <c r="KO3" s="306"/>
      <c r="KP3" s="306"/>
      <c r="KQ3" s="306"/>
      <c r="KR3" s="306"/>
      <c r="KS3" s="306"/>
      <c r="KT3" s="306"/>
      <c r="KU3" s="306"/>
      <c r="KV3" s="306"/>
      <c r="KW3" s="306"/>
      <c r="KX3" s="306"/>
      <c r="KY3" s="306"/>
      <c r="KZ3" s="306"/>
      <c r="LA3" s="306"/>
      <c r="LB3" s="306"/>
      <c r="LC3" s="306"/>
      <c r="LD3" s="306"/>
      <c r="LE3" s="306"/>
      <c r="LF3" s="306"/>
    </row>
    <row r="4" spans="1:318" ht="15" customHeight="1" x14ac:dyDescent="0.25"/>
    <row r="5" spans="1:318" ht="14.4" x14ac:dyDescent="0.3">
      <c r="A5" s="340" t="s">
        <v>3</v>
      </c>
      <c r="B5" s="331" t="s">
        <v>4</v>
      </c>
      <c r="C5" s="331" t="s">
        <v>5</v>
      </c>
      <c r="D5" s="331" t="s">
        <v>6</v>
      </c>
      <c r="E5" s="331" t="s">
        <v>5</v>
      </c>
      <c r="F5" s="331" t="s">
        <v>7</v>
      </c>
      <c r="G5" s="331" t="s">
        <v>8</v>
      </c>
      <c r="H5" s="334" t="s">
        <v>9</v>
      </c>
      <c r="I5" s="334" t="s">
        <v>299</v>
      </c>
      <c r="J5" s="19" t="s">
        <v>11</v>
      </c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43"/>
      <c r="X5" s="42" t="s">
        <v>12</v>
      </c>
      <c r="Y5" s="19"/>
      <c r="Z5" s="19"/>
      <c r="AA5" s="19"/>
      <c r="AB5" s="19"/>
      <c r="AC5" s="19"/>
      <c r="AD5" s="43"/>
      <c r="AE5" s="19" t="s">
        <v>12</v>
      </c>
      <c r="AF5" s="19"/>
      <c r="AG5" s="42" t="s">
        <v>13</v>
      </c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43"/>
      <c r="AS5" s="42" t="s">
        <v>14</v>
      </c>
      <c r="AT5" s="19"/>
      <c r="AU5" s="146"/>
      <c r="AV5" s="149" t="s">
        <v>15</v>
      </c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43"/>
      <c r="BJ5" s="19" t="s">
        <v>16</v>
      </c>
      <c r="BK5" s="19"/>
      <c r="BL5" s="42" t="s">
        <v>16</v>
      </c>
      <c r="BM5" s="43"/>
      <c r="BN5" s="19" t="s">
        <v>17</v>
      </c>
      <c r="BO5" s="19"/>
      <c r="BP5" s="175" t="s">
        <v>18</v>
      </c>
      <c r="BQ5" s="171"/>
      <c r="BR5" s="171"/>
      <c r="BS5" s="171"/>
      <c r="BT5" s="171"/>
      <c r="BU5" s="65"/>
      <c r="BV5" s="19" t="s">
        <v>19</v>
      </c>
      <c r="BW5" s="42" t="s">
        <v>20</v>
      </c>
      <c r="BX5" s="43"/>
      <c r="BY5" s="19" t="s">
        <v>21</v>
      </c>
      <c r="BZ5" s="19"/>
      <c r="CA5" s="42" t="s">
        <v>22</v>
      </c>
      <c r="CB5" s="43"/>
      <c r="CC5" s="19" t="s">
        <v>22</v>
      </c>
      <c r="CD5" s="42" t="s">
        <v>23</v>
      </c>
      <c r="CE5" s="19"/>
      <c r="CF5" s="19"/>
      <c r="CG5" s="19"/>
      <c r="CH5" s="43"/>
      <c r="CI5" s="176" t="s">
        <v>24</v>
      </c>
      <c r="CJ5" s="19" t="s">
        <v>25</v>
      </c>
      <c r="CK5" s="19"/>
      <c r="CL5" s="19"/>
      <c r="CM5" s="171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71"/>
      <c r="CY5" s="20"/>
      <c r="CZ5" s="44" t="s">
        <v>25</v>
      </c>
      <c r="DA5" s="45"/>
      <c r="DB5" s="20" t="s">
        <v>26</v>
      </c>
      <c r="DC5" s="20"/>
      <c r="DD5" s="20"/>
      <c r="DE5" s="20"/>
      <c r="DF5" s="20"/>
      <c r="DG5" s="20"/>
      <c r="DH5" s="171"/>
      <c r="DI5" s="42" t="s">
        <v>27</v>
      </c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43"/>
      <c r="DY5" s="19" t="s">
        <v>28</v>
      </c>
      <c r="DZ5" s="19"/>
      <c r="EA5" s="19" t="s">
        <v>29</v>
      </c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42" t="s">
        <v>30</v>
      </c>
      <c r="EO5" s="19"/>
      <c r="EP5" s="43"/>
      <c r="EQ5" s="19" t="s">
        <v>31</v>
      </c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43"/>
      <c r="FG5" s="19" t="s">
        <v>32</v>
      </c>
      <c r="FH5" s="19"/>
      <c r="FI5" s="19"/>
      <c r="FJ5" s="19"/>
      <c r="FK5" s="19"/>
      <c r="FL5" s="19"/>
      <c r="FM5" s="42" t="s">
        <v>32</v>
      </c>
      <c r="FN5" s="19"/>
      <c r="FO5" s="43"/>
      <c r="FP5" s="19" t="s">
        <v>33</v>
      </c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42" t="s">
        <v>34</v>
      </c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43"/>
      <c r="HC5" s="19" t="s">
        <v>35</v>
      </c>
      <c r="HD5" s="19"/>
      <c r="HE5" s="42" t="s">
        <v>36</v>
      </c>
      <c r="HF5" s="19"/>
      <c r="HG5" s="19"/>
      <c r="HH5" s="19"/>
      <c r="HI5" s="19"/>
      <c r="HJ5" s="43"/>
      <c r="HK5" s="19" t="s">
        <v>36</v>
      </c>
      <c r="HL5" s="42" t="s">
        <v>37</v>
      </c>
      <c r="HM5" s="19"/>
      <c r="HN5" s="19"/>
      <c r="HO5" s="19"/>
      <c r="HP5" s="19"/>
      <c r="HQ5" s="19"/>
      <c r="HR5" s="19"/>
      <c r="HS5" s="43"/>
      <c r="HT5" s="19" t="s">
        <v>38</v>
      </c>
      <c r="HU5" s="19"/>
      <c r="HV5" s="19"/>
      <c r="HW5" s="19"/>
      <c r="HX5" s="19"/>
      <c r="HY5" s="19"/>
      <c r="HZ5" s="42" t="s">
        <v>39</v>
      </c>
      <c r="IA5" s="19"/>
      <c r="IB5" s="19"/>
      <c r="IC5" s="19"/>
      <c r="ID5" s="19"/>
      <c r="IE5" s="19"/>
      <c r="IF5" s="19"/>
      <c r="IG5" s="19"/>
      <c r="IH5" s="19"/>
      <c r="II5" s="43"/>
      <c r="IJ5" s="19" t="s">
        <v>40</v>
      </c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42" t="s">
        <v>41</v>
      </c>
      <c r="IZ5" s="43"/>
      <c r="JA5" s="19" t="s">
        <v>42</v>
      </c>
      <c r="JB5" s="19"/>
      <c r="JC5" s="19"/>
      <c r="JD5" s="42" t="s">
        <v>42</v>
      </c>
      <c r="JE5" s="43"/>
      <c r="JF5" s="19" t="s">
        <v>43</v>
      </c>
      <c r="JG5" s="42" t="s">
        <v>44</v>
      </c>
      <c r="JH5" s="19"/>
      <c r="JI5" s="19"/>
      <c r="JJ5" s="19"/>
      <c r="JK5" s="19"/>
      <c r="JL5" s="19"/>
      <c r="JM5" s="19"/>
      <c r="JN5" s="19"/>
      <c r="JO5" s="19"/>
      <c r="JP5" s="19"/>
      <c r="JQ5" s="43"/>
      <c r="JR5" s="19" t="s">
        <v>45</v>
      </c>
      <c r="JS5" s="42" t="s">
        <v>46</v>
      </c>
      <c r="JT5" s="19"/>
      <c r="JU5" s="19"/>
      <c r="JV5" s="19"/>
      <c r="JW5" s="19"/>
      <c r="JX5" s="43"/>
      <c r="JY5" s="19" t="s">
        <v>450</v>
      </c>
      <c r="JZ5" s="19"/>
      <c r="KA5" s="19"/>
      <c r="KB5" s="42" t="s">
        <v>451</v>
      </c>
      <c r="KC5" s="19"/>
      <c r="KD5" s="19"/>
      <c r="KE5" s="19"/>
      <c r="KF5" s="19"/>
      <c r="KG5" s="19"/>
      <c r="KH5" s="19"/>
      <c r="KI5" s="43"/>
      <c r="KJ5" s="19" t="s">
        <v>452</v>
      </c>
      <c r="KK5" s="19"/>
      <c r="KL5" s="19"/>
      <c r="KM5" s="19"/>
      <c r="KN5" s="19"/>
      <c r="KO5" s="42" t="s">
        <v>453</v>
      </c>
      <c r="KP5" s="19"/>
      <c r="KQ5" s="19"/>
      <c r="KR5" s="19"/>
      <c r="KS5" s="19"/>
      <c r="KT5" s="43"/>
      <c r="KU5" s="19" t="s">
        <v>454</v>
      </c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43"/>
    </row>
    <row r="6" spans="1:318" ht="17.25" customHeight="1" x14ac:dyDescent="0.3">
      <c r="A6" s="341"/>
      <c r="B6" s="332"/>
      <c r="C6" s="332"/>
      <c r="D6" s="332"/>
      <c r="E6" s="332"/>
      <c r="F6" s="332"/>
      <c r="G6" s="332"/>
      <c r="H6" s="335"/>
      <c r="I6" s="335"/>
      <c r="J6" s="20" t="s">
        <v>47</v>
      </c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45"/>
      <c r="X6" s="44" t="s">
        <v>47</v>
      </c>
      <c r="Y6" s="20"/>
      <c r="Z6" s="20"/>
      <c r="AA6" s="20"/>
      <c r="AB6" s="20"/>
      <c r="AC6" s="20"/>
      <c r="AD6" s="45"/>
      <c r="AE6" s="20" t="s">
        <v>48</v>
      </c>
      <c r="AF6" s="20"/>
      <c r="AG6" s="44" t="s">
        <v>47</v>
      </c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45"/>
      <c r="AS6" s="44" t="s">
        <v>49</v>
      </c>
      <c r="AT6" s="20"/>
      <c r="AU6" s="147"/>
      <c r="AV6" s="150" t="s">
        <v>47</v>
      </c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45"/>
      <c r="BJ6" s="173" t="s">
        <v>50</v>
      </c>
      <c r="BK6" s="20"/>
      <c r="BL6" s="174" t="s">
        <v>51</v>
      </c>
      <c r="BM6" s="45"/>
      <c r="BN6" s="173" t="s">
        <v>52</v>
      </c>
      <c r="BO6" s="20"/>
      <c r="BP6" s="44" t="s">
        <v>53</v>
      </c>
      <c r="BQ6" s="20"/>
      <c r="BR6" s="20"/>
      <c r="BS6" s="20"/>
      <c r="BT6" s="20"/>
      <c r="BU6" s="45"/>
      <c r="BV6" s="173" t="s">
        <v>54</v>
      </c>
      <c r="BW6" s="174" t="s">
        <v>55</v>
      </c>
      <c r="BX6" s="45"/>
      <c r="BY6" s="172" t="s">
        <v>56</v>
      </c>
      <c r="BZ6" s="20"/>
      <c r="CA6" s="174" t="s">
        <v>57</v>
      </c>
      <c r="CB6" s="178"/>
      <c r="CC6" s="173" t="s">
        <v>58</v>
      </c>
      <c r="CD6" s="44" t="s">
        <v>59</v>
      </c>
      <c r="CE6" s="20"/>
      <c r="CF6" s="20"/>
      <c r="CG6" s="20"/>
      <c r="CH6" s="45"/>
      <c r="CI6" s="179" t="s">
        <v>48</v>
      </c>
      <c r="CJ6" s="20" t="s">
        <v>60</v>
      </c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44" t="s">
        <v>61</v>
      </c>
      <c r="DA6" s="45"/>
      <c r="DB6" s="20" t="s">
        <v>62</v>
      </c>
      <c r="DC6" s="20"/>
      <c r="DD6" s="20"/>
      <c r="DE6" s="20"/>
      <c r="DF6" s="20"/>
      <c r="DG6" s="20"/>
      <c r="DH6" s="20"/>
      <c r="DI6" s="44" t="s">
        <v>63</v>
      </c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45"/>
      <c r="DY6" s="20" t="s">
        <v>64</v>
      </c>
      <c r="DZ6" s="20"/>
      <c r="EA6" s="20" t="s">
        <v>47</v>
      </c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44" t="s">
        <v>65</v>
      </c>
      <c r="EO6" s="20"/>
      <c r="EP6" s="45"/>
      <c r="EQ6" s="20" t="s">
        <v>63</v>
      </c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45"/>
      <c r="FG6" s="20" t="s">
        <v>66</v>
      </c>
      <c r="FH6" s="20"/>
      <c r="FI6" s="20"/>
      <c r="FJ6" s="20"/>
      <c r="FK6" s="20"/>
      <c r="FL6" s="20"/>
      <c r="FM6" s="44" t="s">
        <v>48</v>
      </c>
      <c r="FN6" s="20"/>
      <c r="FO6" s="45"/>
      <c r="FP6" s="20" t="s">
        <v>60</v>
      </c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44" t="s">
        <v>63</v>
      </c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45"/>
      <c r="HC6" s="173" t="s">
        <v>50</v>
      </c>
      <c r="HD6" s="20"/>
      <c r="HE6" s="44" t="s">
        <v>67</v>
      </c>
      <c r="HF6" s="20"/>
      <c r="HG6" s="20"/>
      <c r="HH6" s="20"/>
      <c r="HI6" s="20"/>
      <c r="HJ6" s="45"/>
      <c r="HK6" s="20" t="s">
        <v>68</v>
      </c>
      <c r="HL6" s="44" t="s">
        <v>69</v>
      </c>
      <c r="HM6" s="20"/>
      <c r="HN6" s="20"/>
      <c r="HO6" s="20"/>
      <c r="HP6" s="20"/>
      <c r="HQ6" s="20"/>
      <c r="HR6" s="20"/>
      <c r="HS6" s="45"/>
      <c r="HT6" s="20" t="s">
        <v>60</v>
      </c>
      <c r="HU6" s="20"/>
      <c r="HV6" s="20"/>
      <c r="HW6" s="20"/>
      <c r="HX6" s="20"/>
      <c r="HY6" s="20"/>
      <c r="HZ6" s="44" t="s">
        <v>70</v>
      </c>
      <c r="IA6" s="20"/>
      <c r="IB6" s="20"/>
      <c r="IC6" s="20"/>
      <c r="ID6" s="20"/>
      <c r="IE6" s="20"/>
      <c r="IF6" s="20"/>
      <c r="IG6" s="20"/>
      <c r="IH6" s="20"/>
      <c r="II6" s="45"/>
      <c r="IJ6" s="20" t="s">
        <v>71</v>
      </c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174" t="s">
        <v>72</v>
      </c>
      <c r="IZ6" s="45"/>
      <c r="JA6" s="294" t="s">
        <v>73</v>
      </c>
      <c r="JB6" s="20"/>
      <c r="JC6" s="20"/>
      <c r="JD6" s="174" t="s">
        <v>50</v>
      </c>
      <c r="JE6" s="45"/>
      <c r="JF6" s="173" t="s">
        <v>74</v>
      </c>
      <c r="JG6" s="44" t="s">
        <v>75</v>
      </c>
      <c r="JH6" s="20"/>
      <c r="JI6" s="20"/>
      <c r="JJ6" s="20"/>
      <c r="JK6" s="20"/>
      <c r="JL6" s="20"/>
      <c r="JM6" s="20"/>
      <c r="JN6" s="20"/>
      <c r="JO6" s="20"/>
      <c r="JP6" s="20"/>
      <c r="JQ6" s="45"/>
      <c r="JR6" s="172" t="s">
        <v>76</v>
      </c>
      <c r="JS6" s="44" t="s">
        <v>77</v>
      </c>
      <c r="JT6" s="20"/>
      <c r="JU6" s="20"/>
      <c r="JV6" s="20"/>
      <c r="JW6" s="20"/>
      <c r="JX6" s="45"/>
      <c r="JY6" s="20" t="s">
        <v>455</v>
      </c>
      <c r="JZ6" s="20"/>
      <c r="KA6" s="20"/>
      <c r="KB6" s="44" t="s">
        <v>456</v>
      </c>
      <c r="KC6" s="20"/>
      <c r="KD6" s="20"/>
      <c r="KE6" s="20"/>
      <c r="KF6" s="20"/>
      <c r="KG6" s="20"/>
      <c r="KH6" s="20"/>
      <c r="KI6" s="45"/>
      <c r="KJ6" s="20" t="s">
        <v>457</v>
      </c>
      <c r="KK6" s="20"/>
      <c r="KL6" s="20"/>
      <c r="KM6" s="20"/>
      <c r="KN6" s="20"/>
      <c r="KO6" s="44" t="s">
        <v>51</v>
      </c>
      <c r="KP6" s="20"/>
      <c r="KQ6" s="20"/>
      <c r="KR6" s="20"/>
      <c r="KS6" s="20"/>
      <c r="KT6" s="45"/>
      <c r="KU6" s="20" t="s">
        <v>47</v>
      </c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45"/>
    </row>
    <row r="7" spans="1:318" s="1" customFormat="1" ht="18" customHeight="1" x14ac:dyDescent="0.3">
      <c r="A7" s="342"/>
      <c r="B7" s="333"/>
      <c r="C7" s="333"/>
      <c r="D7" s="333"/>
      <c r="E7" s="333"/>
      <c r="F7" s="333"/>
      <c r="G7" s="333"/>
      <c r="H7" s="336"/>
      <c r="I7" s="336"/>
      <c r="J7" s="21" t="s">
        <v>78</v>
      </c>
      <c r="K7" s="21" t="s">
        <v>79</v>
      </c>
      <c r="L7" s="21" t="s">
        <v>80</v>
      </c>
      <c r="M7" s="21" t="s">
        <v>81</v>
      </c>
      <c r="N7" s="21" t="s">
        <v>82</v>
      </c>
      <c r="O7" s="21" t="s">
        <v>83</v>
      </c>
      <c r="P7" s="21" t="s">
        <v>84</v>
      </c>
      <c r="Q7" s="21" t="s">
        <v>78</v>
      </c>
      <c r="R7" s="21" t="s">
        <v>79</v>
      </c>
      <c r="S7" s="21" t="s">
        <v>80</v>
      </c>
      <c r="T7" s="21" t="s">
        <v>81</v>
      </c>
      <c r="U7" s="21" t="s">
        <v>82</v>
      </c>
      <c r="V7" s="21" t="s">
        <v>83</v>
      </c>
      <c r="W7" s="47" t="s">
        <v>84</v>
      </c>
      <c r="X7" s="46" t="s">
        <v>78</v>
      </c>
      <c r="Y7" s="21" t="s">
        <v>81</v>
      </c>
      <c r="Z7" s="21" t="s">
        <v>80</v>
      </c>
      <c r="AA7" s="21" t="s">
        <v>82</v>
      </c>
      <c r="AB7" s="21" t="s">
        <v>85</v>
      </c>
      <c r="AC7" s="21" t="s">
        <v>78</v>
      </c>
      <c r="AD7" s="47" t="s">
        <v>84</v>
      </c>
      <c r="AE7" s="21" t="s">
        <v>86</v>
      </c>
      <c r="AF7" s="21" t="s">
        <v>87</v>
      </c>
      <c r="AG7" s="46" t="s">
        <v>78</v>
      </c>
      <c r="AH7" s="21" t="s">
        <v>79</v>
      </c>
      <c r="AI7" s="21" t="s">
        <v>80</v>
      </c>
      <c r="AJ7" s="21" t="s">
        <v>81</v>
      </c>
      <c r="AK7" s="21" t="s">
        <v>82</v>
      </c>
      <c r="AL7" s="21" t="s">
        <v>83</v>
      </c>
      <c r="AM7" s="21" t="s">
        <v>84</v>
      </c>
      <c r="AN7" s="21" t="s">
        <v>85</v>
      </c>
      <c r="AO7" s="21" t="s">
        <v>79</v>
      </c>
      <c r="AP7" s="21" t="s">
        <v>88</v>
      </c>
      <c r="AQ7" s="21" t="s">
        <v>89</v>
      </c>
      <c r="AR7" s="47" t="s">
        <v>85</v>
      </c>
      <c r="AS7" s="46" t="s">
        <v>84</v>
      </c>
      <c r="AT7" s="21" t="s">
        <v>89</v>
      </c>
      <c r="AU7" s="148" t="s">
        <v>90</v>
      </c>
      <c r="AV7" s="151" t="s">
        <v>78</v>
      </c>
      <c r="AW7" s="21" t="s">
        <v>79</v>
      </c>
      <c r="AX7" s="21" t="s">
        <v>80</v>
      </c>
      <c r="AY7" s="21" t="s">
        <v>81</v>
      </c>
      <c r="AZ7" s="21" t="s">
        <v>82</v>
      </c>
      <c r="BA7" s="21" t="s">
        <v>83</v>
      </c>
      <c r="BB7" s="21" t="s">
        <v>84</v>
      </c>
      <c r="BC7" s="21" t="s">
        <v>91</v>
      </c>
      <c r="BD7" s="21" t="s">
        <v>79</v>
      </c>
      <c r="BE7" s="21" t="s">
        <v>80</v>
      </c>
      <c r="BF7" s="21" t="s">
        <v>88</v>
      </c>
      <c r="BG7" s="21" t="s">
        <v>89</v>
      </c>
      <c r="BH7" s="21" t="s">
        <v>85</v>
      </c>
      <c r="BI7" s="47" t="s">
        <v>91</v>
      </c>
      <c r="BJ7" s="21" t="s">
        <v>86</v>
      </c>
      <c r="BK7" s="21" t="s">
        <v>87</v>
      </c>
      <c r="BL7" s="46" t="s">
        <v>92</v>
      </c>
      <c r="BM7" s="47" t="s">
        <v>93</v>
      </c>
      <c r="BN7" s="21" t="s">
        <v>84</v>
      </c>
      <c r="BO7" s="21" t="s">
        <v>89</v>
      </c>
      <c r="BP7" s="46" t="s">
        <v>85</v>
      </c>
      <c r="BQ7" s="21" t="s">
        <v>94</v>
      </c>
      <c r="BR7" s="21" t="s">
        <v>91</v>
      </c>
      <c r="BS7" s="21" t="s">
        <v>95</v>
      </c>
      <c r="BT7" s="21" t="s">
        <v>96</v>
      </c>
      <c r="BU7" s="47" t="s">
        <v>97</v>
      </c>
      <c r="BV7" s="21" t="s">
        <v>84</v>
      </c>
      <c r="BW7" s="46" t="s">
        <v>85</v>
      </c>
      <c r="BX7" s="47" t="s">
        <v>86</v>
      </c>
      <c r="BY7" s="21" t="s">
        <v>98</v>
      </c>
      <c r="BZ7" s="21" t="s">
        <v>93</v>
      </c>
      <c r="CA7" s="46" t="s">
        <v>95</v>
      </c>
      <c r="CB7" s="47" t="s">
        <v>99</v>
      </c>
      <c r="CC7" s="21" t="s">
        <v>91</v>
      </c>
      <c r="CD7" s="46" t="s">
        <v>100</v>
      </c>
      <c r="CE7" s="21" t="s">
        <v>91</v>
      </c>
      <c r="CF7" s="21" t="s">
        <v>101</v>
      </c>
      <c r="CG7" s="21" t="s">
        <v>96</v>
      </c>
      <c r="CH7" s="47" t="s">
        <v>102</v>
      </c>
      <c r="CI7" s="177" t="s">
        <v>93</v>
      </c>
      <c r="CJ7" s="21" t="s">
        <v>80</v>
      </c>
      <c r="CK7" s="21" t="s">
        <v>82</v>
      </c>
      <c r="CL7" s="21" t="s">
        <v>98</v>
      </c>
      <c r="CM7" s="21" t="s">
        <v>88</v>
      </c>
      <c r="CN7" s="21" t="s">
        <v>83</v>
      </c>
      <c r="CO7" s="21" t="s">
        <v>91</v>
      </c>
      <c r="CP7" s="21" t="s">
        <v>95</v>
      </c>
      <c r="CQ7" s="21" t="s">
        <v>81</v>
      </c>
      <c r="CR7" s="21" t="s">
        <v>103</v>
      </c>
      <c r="CS7" s="21" t="s">
        <v>104</v>
      </c>
      <c r="CT7" s="21" t="s">
        <v>101</v>
      </c>
      <c r="CU7" s="21" t="s">
        <v>89</v>
      </c>
      <c r="CV7" s="21" t="s">
        <v>87</v>
      </c>
      <c r="CW7" s="21" t="s">
        <v>96</v>
      </c>
      <c r="CX7" s="21" t="s">
        <v>97</v>
      </c>
      <c r="CY7" s="21" t="s">
        <v>83</v>
      </c>
      <c r="CZ7" s="46" t="s">
        <v>84</v>
      </c>
      <c r="DA7" s="47" t="s">
        <v>89</v>
      </c>
      <c r="DB7" s="21" t="s">
        <v>91</v>
      </c>
      <c r="DC7" s="21" t="s">
        <v>84</v>
      </c>
      <c r="DD7" s="21" t="s">
        <v>95</v>
      </c>
      <c r="DE7" s="21" t="s">
        <v>89</v>
      </c>
      <c r="DF7" s="21" t="s">
        <v>96</v>
      </c>
      <c r="DG7" s="21" t="s">
        <v>90</v>
      </c>
      <c r="DH7" s="252" t="s">
        <v>97</v>
      </c>
      <c r="DI7" s="46" t="s">
        <v>80</v>
      </c>
      <c r="DJ7" s="21" t="s">
        <v>98</v>
      </c>
      <c r="DK7" s="21" t="s">
        <v>100</v>
      </c>
      <c r="DL7" s="21" t="s">
        <v>82</v>
      </c>
      <c r="DM7" s="21" t="s">
        <v>88</v>
      </c>
      <c r="DN7" s="21" t="s">
        <v>83</v>
      </c>
      <c r="DO7" s="21" t="s">
        <v>85</v>
      </c>
      <c r="DP7" s="21" t="s">
        <v>96</v>
      </c>
      <c r="DQ7" s="21" t="s">
        <v>80</v>
      </c>
      <c r="DR7" s="21" t="s">
        <v>103</v>
      </c>
      <c r="DS7" s="21" t="s">
        <v>101</v>
      </c>
      <c r="DT7" s="21" t="s">
        <v>81</v>
      </c>
      <c r="DU7" s="21" t="s">
        <v>104</v>
      </c>
      <c r="DV7" s="21" t="s">
        <v>84</v>
      </c>
      <c r="DW7" s="21" t="s">
        <v>91</v>
      </c>
      <c r="DX7" s="47" t="s">
        <v>102</v>
      </c>
      <c r="DY7" s="21" t="s">
        <v>93</v>
      </c>
      <c r="DZ7" s="21" t="s">
        <v>92</v>
      </c>
      <c r="EA7" s="21" t="s">
        <v>78</v>
      </c>
      <c r="EB7" s="21" t="s">
        <v>79</v>
      </c>
      <c r="EC7" s="21" t="s">
        <v>93</v>
      </c>
      <c r="ED7" s="21" t="s">
        <v>81</v>
      </c>
      <c r="EE7" s="21" t="s">
        <v>82</v>
      </c>
      <c r="EF7" s="21" t="s">
        <v>83</v>
      </c>
      <c r="EG7" s="21" t="s">
        <v>84</v>
      </c>
      <c r="EH7" s="21" t="s">
        <v>78</v>
      </c>
      <c r="EI7" s="21" t="s">
        <v>79</v>
      </c>
      <c r="EJ7" s="21" t="s">
        <v>93</v>
      </c>
      <c r="EK7" s="21" t="s">
        <v>88</v>
      </c>
      <c r="EL7" s="21" t="s">
        <v>104</v>
      </c>
      <c r="EM7" s="21" t="s">
        <v>85</v>
      </c>
      <c r="EN7" s="46" t="s">
        <v>84</v>
      </c>
      <c r="EO7" s="21" t="s">
        <v>89</v>
      </c>
      <c r="EP7" s="258" t="s">
        <v>90</v>
      </c>
      <c r="EQ7" s="21" t="s">
        <v>80</v>
      </c>
      <c r="ER7" s="21" t="s">
        <v>98</v>
      </c>
      <c r="ES7" s="21" t="s">
        <v>93</v>
      </c>
      <c r="ET7" s="21" t="s">
        <v>82</v>
      </c>
      <c r="EU7" s="21" t="s">
        <v>88</v>
      </c>
      <c r="EV7" s="21" t="s">
        <v>84</v>
      </c>
      <c r="EW7" s="21" t="s">
        <v>85</v>
      </c>
      <c r="EX7" s="21" t="s">
        <v>102</v>
      </c>
      <c r="EY7" s="21" t="s">
        <v>80</v>
      </c>
      <c r="EZ7" s="21" t="s">
        <v>98</v>
      </c>
      <c r="FA7" s="21" t="s">
        <v>93</v>
      </c>
      <c r="FB7" s="21" t="s">
        <v>81</v>
      </c>
      <c r="FC7" s="21" t="s">
        <v>104</v>
      </c>
      <c r="FD7" s="21" t="s">
        <v>89</v>
      </c>
      <c r="FE7" s="21" t="s">
        <v>91</v>
      </c>
      <c r="FF7" s="47" t="s">
        <v>96</v>
      </c>
      <c r="FG7" s="21" t="s">
        <v>82</v>
      </c>
      <c r="FH7" s="21" t="s">
        <v>81</v>
      </c>
      <c r="FI7" s="21" t="s">
        <v>88</v>
      </c>
      <c r="FJ7" s="21" t="s">
        <v>105</v>
      </c>
      <c r="FK7" s="21" t="s">
        <v>83</v>
      </c>
      <c r="FL7" s="21" t="s">
        <v>84</v>
      </c>
      <c r="FM7" s="46" t="s">
        <v>80</v>
      </c>
      <c r="FN7" s="21" t="s">
        <v>93</v>
      </c>
      <c r="FO7" s="47" t="s">
        <v>106</v>
      </c>
      <c r="FP7" s="21" t="s">
        <v>82</v>
      </c>
      <c r="FQ7" s="21" t="s">
        <v>88</v>
      </c>
      <c r="FR7" s="21" t="s">
        <v>83</v>
      </c>
      <c r="FS7" s="21" t="s">
        <v>84</v>
      </c>
      <c r="FT7" s="21" t="s">
        <v>85</v>
      </c>
      <c r="FU7" s="21" t="s">
        <v>96</v>
      </c>
      <c r="FV7" s="21" t="s">
        <v>95</v>
      </c>
      <c r="FW7" s="21" t="s">
        <v>81</v>
      </c>
      <c r="FX7" s="21" t="s">
        <v>104</v>
      </c>
      <c r="FY7" s="21" t="s">
        <v>88</v>
      </c>
      <c r="FZ7" s="21" t="s">
        <v>101</v>
      </c>
      <c r="GA7" s="21" t="s">
        <v>83</v>
      </c>
      <c r="GB7" s="21" t="s">
        <v>91</v>
      </c>
      <c r="GC7" s="21" t="s">
        <v>96</v>
      </c>
      <c r="GD7" s="21" t="s">
        <v>97</v>
      </c>
      <c r="GE7" s="46" t="s">
        <v>80</v>
      </c>
      <c r="GF7" s="21" t="s">
        <v>79</v>
      </c>
      <c r="GG7" s="21" t="s">
        <v>82</v>
      </c>
      <c r="GH7" s="21" t="s">
        <v>88</v>
      </c>
      <c r="GI7" s="21" t="s">
        <v>83</v>
      </c>
      <c r="GJ7" s="21" t="s">
        <v>100</v>
      </c>
      <c r="GK7" s="21" t="s">
        <v>85</v>
      </c>
      <c r="GL7" s="21" t="s">
        <v>91</v>
      </c>
      <c r="GM7" s="21" t="s">
        <v>80</v>
      </c>
      <c r="GN7" s="21" t="s">
        <v>81</v>
      </c>
      <c r="GO7" s="21" t="s">
        <v>79</v>
      </c>
      <c r="GP7" s="21" t="s">
        <v>104</v>
      </c>
      <c r="GQ7" s="21" t="s">
        <v>107</v>
      </c>
      <c r="GR7" s="21" t="s">
        <v>84</v>
      </c>
      <c r="GS7" s="21" t="s">
        <v>91</v>
      </c>
      <c r="GT7" s="21" t="s">
        <v>102</v>
      </c>
      <c r="GU7" s="21" t="s">
        <v>108</v>
      </c>
      <c r="GV7" s="21" t="s">
        <v>80</v>
      </c>
      <c r="GW7" s="21" t="s">
        <v>82</v>
      </c>
      <c r="GX7" s="21" t="s">
        <v>109</v>
      </c>
      <c r="GY7" s="21" t="s">
        <v>88</v>
      </c>
      <c r="GZ7" s="21" t="s">
        <v>83</v>
      </c>
      <c r="HA7" s="21" t="s">
        <v>85</v>
      </c>
      <c r="HB7" s="47" t="s">
        <v>96</v>
      </c>
      <c r="HC7" s="21" t="s">
        <v>86</v>
      </c>
      <c r="HD7" s="21" t="s">
        <v>87</v>
      </c>
      <c r="HE7" s="46" t="s">
        <v>110</v>
      </c>
      <c r="HF7" s="21" t="s">
        <v>111</v>
      </c>
      <c r="HG7" s="21" t="s">
        <v>112</v>
      </c>
      <c r="HH7" s="21" t="s">
        <v>113</v>
      </c>
      <c r="HI7" s="21" t="s">
        <v>114</v>
      </c>
      <c r="HJ7" s="47" t="s">
        <v>105</v>
      </c>
      <c r="HK7" s="21" t="s">
        <v>93</v>
      </c>
      <c r="HL7" s="46" t="s">
        <v>91</v>
      </c>
      <c r="HM7" s="21" t="s">
        <v>96</v>
      </c>
      <c r="HN7" s="21" t="s">
        <v>102</v>
      </c>
      <c r="HO7" s="21" t="s">
        <v>84</v>
      </c>
      <c r="HP7" s="21" t="s">
        <v>89</v>
      </c>
      <c r="HQ7" s="21" t="s">
        <v>90</v>
      </c>
      <c r="HR7" s="21" t="s">
        <v>100</v>
      </c>
      <c r="HS7" s="47" t="s">
        <v>101</v>
      </c>
      <c r="HT7" s="21" t="s">
        <v>83</v>
      </c>
      <c r="HU7" s="21" t="s">
        <v>82</v>
      </c>
      <c r="HV7" s="21" t="s">
        <v>85</v>
      </c>
      <c r="HW7" s="21" t="s">
        <v>84</v>
      </c>
      <c r="HX7" s="21" t="s">
        <v>81</v>
      </c>
      <c r="HY7" s="21" t="s">
        <v>91</v>
      </c>
      <c r="HZ7" s="46" t="s">
        <v>96</v>
      </c>
      <c r="IA7" s="21" t="s">
        <v>93</v>
      </c>
      <c r="IB7" s="21" t="s">
        <v>98</v>
      </c>
      <c r="IC7" s="21" t="s">
        <v>91</v>
      </c>
      <c r="ID7" s="21" t="s">
        <v>82</v>
      </c>
      <c r="IE7" s="21" t="s">
        <v>100</v>
      </c>
      <c r="IF7" s="21" t="s">
        <v>88</v>
      </c>
      <c r="IG7" s="21" t="s">
        <v>87</v>
      </c>
      <c r="IH7" s="21" t="s">
        <v>102</v>
      </c>
      <c r="II7" s="47" t="s">
        <v>101</v>
      </c>
      <c r="IJ7" s="21" t="s">
        <v>82</v>
      </c>
      <c r="IK7" s="21" t="s">
        <v>81</v>
      </c>
      <c r="IL7" s="21" t="s">
        <v>83</v>
      </c>
      <c r="IM7" s="21" t="s">
        <v>82</v>
      </c>
      <c r="IN7" s="21" t="s">
        <v>88</v>
      </c>
      <c r="IO7" s="21" t="s">
        <v>115</v>
      </c>
      <c r="IP7" s="21" t="s">
        <v>84</v>
      </c>
      <c r="IQ7" s="21" t="s">
        <v>86</v>
      </c>
      <c r="IR7" s="21" t="s">
        <v>96</v>
      </c>
      <c r="IS7" s="21" t="s">
        <v>82</v>
      </c>
      <c r="IT7" s="21" t="s">
        <v>104</v>
      </c>
      <c r="IU7" s="21" t="s">
        <v>87</v>
      </c>
      <c r="IV7" s="21" t="s">
        <v>116</v>
      </c>
      <c r="IW7" s="21" t="s">
        <v>89</v>
      </c>
      <c r="IX7" s="21" t="s">
        <v>96</v>
      </c>
      <c r="IY7" s="46" t="s">
        <v>104</v>
      </c>
      <c r="IZ7" s="47" t="s">
        <v>108</v>
      </c>
      <c r="JA7" s="21" t="s">
        <v>91</v>
      </c>
      <c r="JB7" s="21" t="s">
        <v>91</v>
      </c>
      <c r="JC7" s="21" t="s">
        <v>96</v>
      </c>
      <c r="JD7" s="46" t="s">
        <v>91</v>
      </c>
      <c r="JE7" s="47" t="s">
        <v>96</v>
      </c>
      <c r="JF7" s="21" t="s">
        <v>95</v>
      </c>
      <c r="JG7" s="46" t="s">
        <v>80</v>
      </c>
      <c r="JH7" s="21" t="s">
        <v>82</v>
      </c>
      <c r="JI7" s="21" t="s">
        <v>88</v>
      </c>
      <c r="JJ7" s="21" t="s">
        <v>83</v>
      </c>
      <c r="JK7" s="21" t="s">
        <v>85</v>
      </c>
      <c r="JL7" s="21" t="s">
        <v>96</v>
      </c>
      <c r="JM7" s="21" t="s">
        <v>80</v>
      </c>
      <c r="JN7" s="21" t="s">
        <v>81</v>
      </c>
      <c r="JO7" s="21" t="s">
        <v>104</v>
      </c>
      <c r="JP7" s="21" t="s">
        <v>84</v>
      </c>
      <c r="JQ7" s="47" t="s">
        <v>91</v>
      </c>
      <c r="JR7" s="21" t="s">
        <v>117</v>
      </c>
      <c r="JS7" s="46" t="s">
        <v>78</v>
      </c>
      <c r="JT7" s="21" t="s">
        <v>82</v>
      </c>
      <c r="JU7" s="21" t="s">
        <v>80</v>
      </c>
      <c r="JV7" s="21" t="s">
        <v>88</v>
      </c>
      <c r="JW7" s="21" t="s">
        <v>84</v>
      </c>
      <c r="JX7" s="47" t="s">
        <v>85</v>
      </c>
      <c r="JY7" s="21" t="s">
        <v>84</v>
      </c>
      <c r="JZ7" s="21" t="s">
        <v>89</v>
      </c>
      <c r="KA7" s="21" t="s">
        <v>90</v>
      </c>
      <c r="KB7" s="46" t="s">
        <v>78</v>
      </c>
      <c r="KC7" s="21" t="s">
        <v>82</v>
      </c>
      <c r="KD7" s="21" t="s">
        <v>88</v>
      </c>
      <c r="KE7" s="21" t="s">
        <v>84</v>
      </c>
      <c r="KF7" s="21" t="s">
        <v>78</v>
      </c>
      <c r="KG7" s="21" t="s">
        <v>82</v>
      </c>
      <c r="KH7" s="21" t="s">
        <v>88</v>
      </c>
      <c r="KI7" s="47" t="s">
        <v>84</v>
      </c>
      <c r="KJ7" s="21" t="s">
        <v>458</v>
      </c>
      <c r="KK7" s="21" t="s">
        <v>459</v>
      </c>
      <c r="KL7" s="21" t="s">
        <v>434</v>
      </c>
      <c r="KM7" s="21" t="s">
        <v>460</v>
      </c>
      <c r="KN7" s="21" t="s">
        <v>434</v>
      </c>
      <c r="KO7" s="46" t="s">
        <v>84</v>
      </c>
      <c r="KP7" s="21" t="s">
        <v>89</v>
      </c>
      <c r="KQ7" s="21" t="s">
        <v>91</v>
      </c>
      <c r="KR7" s="21" t="s">
        <v>100</v>
      </c>
      <c r="KS7" s="21" t="s">
        <v>96</v>
      </c>
      <c r="KT7" s="47" t="s">
        <v>101</v>
      </c>
      <c r="KU7" s="21" t="s">
        <v>78</v>
      </c>
      <c r="KV7" s="21" t="s">
        <v>81</v>
      </c>
      <c r="KW7" s="21" t="s">
        <v>80</v>
      </c>
      <c r="KX7" s="21" t="s">
        <v>82</v>
      </c>
      <c r="KY7" s="21" t="s">
        <v>83</v>
      </c>
      <c r="KZ7" s="21" t="s">
        <v>85</v>
      </c>
      <c r="LA7" s="21" t="s">
        <v>79</v>
      </c>
      <c r="LB7" s="21" t="s">
        <v>81</v>
      </c>
      <c r="LC7" s="21" t="s">
        <v>98</v>
      </c>
      <c r="LD7" s="21" t="s">
        <v>82</v>
      </c>
      <c r="LE7" s="21" t="s">
        <v>88</v>
      </c>
      <c r="LF7" s="47" t="s">
        <v>84</v>
      </c>
    </row>
    <row r="8" spans="1:318" ht="18" customHeight="1" x14ac:dyDescent="0.25">
      <c r="A8" s="14">
        <v>1</v>
      </c>
      <c r="B8" s="13" t="s">
        <v>300</v>
      </c>
      <c r="C8" s="1">
        <v>5486</v>
      </c>
      <c r="D8" t="s">
        <v>301</v>
      </c>
      <c r="E8" s="1">
        <v>10324</v>
      </c>
      <c r="F8" s="1">
        <v>2014</v>
      </c>
      <c r="G8" t="s">
        <v>302</v>
      </c>
      <c r="H8" s="1">
        <f>SUM(J8:LF8)</f>
        <v>498.99999999999994</v>
      </c>
      <c r="I8" s="14">
        <f>Tabuľka2[[#This Row],[Stĺpec84]]+Tabuľka2[[#This Row],[Stĺpec86]]+Tabuľka2[[#This Row],[Stĺpec91]]+Tabuľka2[[#This Row],[Stĺpec95]]+Tabuľka2[[#This Row],[Stĺpec99]]+Tabuľka2[[#This Row],[Stĺpec223]]+Tabuľka2[[#This Row],[Stĺpec142]]+Tabuľka2[[#This Row],[Stĺpec134]]+Tabuľka2[[#This Row],[Stĺpec107]]+Tabuľka2[[#This Row],[Stĺpec187]]+Tabuľka2[[#This Row],[Stĺpec179]]+Tabuľka2[[#This Row],[Stĺpec234]]+Tabuľka2[[#This Row],[Stĺpec205]]+Tabuľka2[[#This Row],[Stĺpec295]]+Tabuľka2[[#This Row],[Stĺpec311]]</f>
        <v>293.2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>
        <v>9</v>
      </c>
      <c r="CO8" s="1">
        <v>9</v>
      </c>
      <c r="CP8" s="1"/>
      <c r="CQ8" s="1"/>
      <c r="CR8" s="1"/>
      <c r="CS8" s="1"/>
      <c r="CT8" s="1">
        <v>21</v>
      </c>
      <c r="CU8" s="1"/>
      <c r="CV8" s="1">
        <v>19</v>
      </c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K8">
        <f>8+12</f>
        <v>20</v>
      </c>
      <c r="DO8">
        <f>9+10</f>
        <v>19</v>
      </c>
      <c r="DS8">
        <f>9+12</f>
        <v>21</v>
      </c>
      <c r="DW8">
        <f>9+11</f>
        <v>20</v>
      </c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S8">
        <f>(6+10)*1.2</f>
        <v>19.2</v>
      </c>
      <c r="EW8">
        <f>8+8</f>
        <v>16</v>
      </c>
      <c r="FA8">
        <f>(6+9)*1.2</f>
        <v>18</v>
      </c>
      <c r="FE8">
        <f>8+11</f>
        <v>19</v>
      </c>
      <c r="FG8" s="268"/>
      <c r="FH8" s="268"/>
      <c r="FI8" s="268"/>
      <c r="FJ8" s="268"/>
      <c r="FK8" s="268"/>
      <c r="FL8" s="264"/>
      <c r="FM8" s="268"/>
      <c r="FN8" s="268"/>
      <c r="FO8" s="264"/>
      <c r="FP8" s="268"/>
      <c r="FQ8" s="268"/>
      <c r="FR8" s="268"/>
      <c r="FS8" s="264">
        <f>5+6</f>
        <v>11</v>
      </c>
      <c r="FT8" s="264">
        <f>9+11</f>
        <v>20</v>
      </c>
      <c r="FU8" s="268"/>
      <c r="FV8" s="268"/>
      <c r="FW8" s="268"/>
      <c r="FX8" s="268"/>
      <c r="FY8" s="268"/>
      <c r="FZ8" s="264">
        <v>12</v>
      </c>
      <c r="GA8" s="268"/>
      <c r="GB8" s="264">
        <f>9+12</f>
        <v>21</v>
      </c>
      <c r="GC8" s="268"/>
      <c r="GD8" s="264"/>
      <c r="GE8" s="268"/>
      <c r="GF8" s="268"/>
      <c r="GG8" s="268"/>
      <c r="GH8" s="268"/>
      <c r="GI8" s="268"/>
      <c r="GJ8" s="268">
        <f>9+12</f>
        <v>21</v>
      </c>
      <c r="GK8" s="268"/>
      <c r="GL8" s="268">
        <f>7+9</f>
        <v>16</v>
      </c>
      <c r="GM8" s="268"/>
      <c r="GN8" s="268"/>
      <c r="GO8" s="268"/>
      <c r="GP8" s="268"/>
      <c r="GQ8" s="268"/>
      <c r="GR8" s="268">
        <f>6+7</f>
        <v>13</v>
      </c>
      <c r="GS8" s="268">
        <f>9+9</f>
        <v>18</v>
      </c>
      <c r="GT8" s="268"/>
      <c r="GU8" s="268"/>
      <c r="GV8" s="268"/>
      <c r="GW8" s="268"/>
      <c r="GX8" s="268"/>
      <c r="GY8" s="268"/>
      <c r="GZ8" s="268">
        <f>6+9</f>
        <v>15</v>
      </c>
      <c r="HA8" s="268">
        <f>5+5</f>
        <v>10</v>
      </c>
      <c r="HB8" s="268"/>
      <c r="HC8" s="268"/>
      <c r="HD8" s="268"/>
      <c r="HE8" s="268"/>
      <c r="HF8" s="268"/>
      <c r="HG8" s="268"/>
      <c r="HH8" s="268"/>
      <c r="HI8" s="268"/>
      <c r="HJ8" s="268"/>
      <c r="HK8" s="268"/>
      <c r="HL8" s="1"/>
      <c r="HM8" s="1"/>
      <c r="HN8" s="1"/>
      <c r="HO8" s="1"/>
      <c r="HP8" s="1"/>
      <c r="HQ8" s="1"/>
      <c r="HR8" s="1">
        <v>14.399999999999999</v>
      </c>
      <c r="HS8" s="1">
        <v>13.2</v>
      </c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>
        <f>15*1.2</f>
        <v>18</v>
      </c>
      <c r="JK8" s="1">
        <v>14</v>
      </c>
      <c r="JL8" s="1"/>
      <c r="JM8" s="1"/>
      <c r="JN8" s="1"/>
      <c r="JO8" s="1"/>
      <c r="JP8" s="1">
        <f>11*1.2</f>
        <v>13.2</v>
      </c>
      <c r="JQ8" s="1"/>
      <c r="JR8" s="1"/>
      <c r="JS8" s="1"/>
      <c r="JT8" s="1"/>
      <c r="JU8" s="1"/>
      <c r="JV8" s="1"/>
      <c r="JW8" s="1">
        <v>12</v>
      </c>
      <c r="JX8" s="1">
        <v>14</v>
      </c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>
        <v>14</v>
      </c>
      <c r="KS8" s="1"/>
      <c r="KT8" s="1">
        <v>19</v>
      </c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</row>
    <row r="9" spans="1:318" ht="18" customHeight="1" x14ac:dyDescent="0.25">
      <c r="A9" s="14">
        <v>2</v>
      </c>
      <c r="B9" s="13" t="s">
        <v>303</v>
      </c>
      <c r="C9" s="1">
        <v>7365</v>
      </c>
      <c r="D9" t="s">
        <v>304</v>
      </c>
      <c r="E9" s="1">
        <v>10844</v>
      </c>
      <c r="F9" s="1">
        <v>2006</v>
      </c>
      <c r="G9" t="s">
        <v>305</v>
      </c>
      <c r="H9" s="1">
        <f>SUM(J9:LF9)</f>
        <v>351.39999999999992</v>
      </c>
      <c r="I9" s="14">
        <f>Tabuľka2[[#This Row],[Stĺpec31]]+Tabuľka2[[#This Row],[Stĺpec32]]+Tabuľka2[[#This Row],[Stĺpec45]]+Tabuľka2[[#This Row],[Stĺpec210]]+Tabuľka2[[#This Row],[Stĺpec147]]+Tabuľka2[[#This Row],[Stĺpec146]]+Tabuľka2[[#This Row],[Stĺpec145]]+Tabuľka2[[#This Row],[Stĺpec194]]+Tabuľka2[[#This Row],[Stĺpec167]]+Tabuľka2[[#This Row],[Stĺpec165]]+Tabuľka2[[#This Row],[Stĺpec289]]+Tabuľka2[[#This Row],[Stĺpec280]]+Tabuľka2[[#This Row],[Stĺpec278]]+Tabuľka2[[#This Row],[Stĺpec314]]+Tabuľka2[[#This Row],[Stĺpec312]]</f>
        <v>235.4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>
        <v>17</v>
      </c>
      <c r="AF9" s="1">
        <v>17</v>
      </c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>
        <v>12</v>
      </c>
      <c r="AT9" s="1">
        <v>14.399999999999999</v>
      </c>
      <c r="AU9" s="1">
        <v>10.799999999999999</v>
      </c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>
        <v>15</v>
      </c>
      <c r="BK9" s="1"/>
      <c r="BL9" s="1"/>
      <c r="BM9" s="1"/>
      <c r="BN9" s="1">
        <v>4.8</v>
      </c>
      <c r="BO9" s="1">
        <v>7.2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C9">
        <f>(2+7)*1.2</f>
        <v>10.799999999999999</v>
      </c>
      <c r="DE9">
        <f>(0+6)*1.2</f>
        <v>7.1999999999999993</v>
      </c>
      <c r="DG9">
        <f>(2+8)*1.2</f>
        <v>12</v>
      </c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>
        <f>(6+9)*1.2</f>
        <v>18</v>
      </c>
      <c r="EO9">
        <f>(6+9)*1.2</f>
        <v>18</v>
      </c>
      <c r="EP9">
        <f>(6+9)*1.2</f>
        <v>18</v>
      </c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268"/>
      <c r="FH9" s="268"/>
      <c r="FI9" s="268"/>
      <c r="FJ9" s="268"/>
      <c r="FK9" s="268"/>
      <c r="FL9" s="264"/>
      <c r="FM9" s="268"/>
      <c r="FN9" s="268"/>
      <c r="FO9" s="264"/>
      <c r="FP9" s="268"/>
      <c r="FQ9" s="268"/>
      <c r="FR9" s="268"/>
      <c r="FS9" s="268"/>
      <c r="FT9" s="268"/>
      <c r="FU9" s="268"/>
      <c r="FV9" s="268"/>
      <c r="FW9" s="268"/>
      <c r="FX9" s="268"/>
      <c r="FY9" s="268"/>
      <c r="FZ9" s="268"/>
      <c r="GA9" s="268"/>
      <c r="GB9" s="268"/>
      <c r="GC9" s="268"/>
      <c r="GD9" s="264"/>
      <c r="GE9" s="268"/>
      <c r="GF9" s="268"/>
      <c r="GG9" s="268"/>
      <c r="GH9" s="268"/>
      <c r="GI9" s="268"/>
      <c r="GJ9" s="268"/>
      <c r="GK9" s="268"/>
      <c r="GL9" s="268"/>
      <c r="GM9" s="268"/>
      <c r="GN9" s="268"/>
      <c r="GO9" s="268"/>
      <c r="GP9" s="268"/>
      <c r="GQ9" s="268"/>
      <c r="GR9" s="268"/>
      <c r="GS9" s="268"/>
      <c r="GT9" s="268"/>
      <c r="GU9" s="268"/>
      <c r="GV9" s="268"/>
      <c r="GW9" s="268"/>
      <c r="GX9" s="268"/>
      <c r="GY9" s="268"/>
      <c r="GZ9" s="268"/>
      <c r="HA9" s="268"/>
      <c r="HB9" s="268"/>
      <c r="HC9" s="268">
        <f>0+3</f>
        <v>3</v>
      </c>
      <c r="HD9" s="268">
        <f>8+9</f>
        <v>17</v>
      </c>
      <c r="HE9" s="268"/>
      <c r="HF9" s="268"/>
      <c r="HG9" s="268"/>
      <c r="HH9" s="268"/>
      <c r="HI9" s="268"/>
      <c r="HJ9" s="268"/>
      <c r="HK9" s="268"/>
      <c r="HL9" s="1"/>
      <c r="HM9" s="1"/>
      <c r="HN9" s="1"/>
      <c r="HO9" s="1">
        <v>13.2</v>
      </c>
      <c r="HP9" s="1">
        <v>12</v>
      </c>
      <c r="HQ9" s="1">
        <v>13.2</v>
      </c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>
        <v>8</v>
      </c>
      <c r="JE9" s="1">
        <v>9</v>
      </c>
      <c r="JF9" s="1"/>
      <c r="JG9" s="268"/>
      <c r="JH9" s="268"/>
      <c r="JI9" s="268"/>
      <c r="JJ9" s="268">
        <f>(4+7)*1.2</f>
        <v>13.2</v>
      </c>
      <c r="JK9" s="268"/>
      <c r="JL9" s="268"/>
      <c r="JM9" s="268"/>
      <c r="JN9" s="268"/>
      <c r="JO9" s="268"/>
      <c r="JP9" s="268">
        <f>(6+8)*1.2</f>
        <v>16.8</v>
      </c>
      <c r="JQ9" s="1"/>
      <c r="JR9" s="1"/>
      <c r="JS9" s="1"/>
      <c r="JT9" s="1"/>
      <c r="JU9" s="1"/>
      <c r="JV9" s="1"/>
      <c r="JW9" s="1"/>
      <c r="JX9" s="1"/>
      <c r="JY9" s="1">
        <v>14.399999999999999</v>
      </c>
      <c r="JZ9" s="1">
        <v>6</v>
      </c>
      <c r="KA9" s="1">
        <v>14.399999999999999</v>
      </c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>
        <v>15</v>
      </c>
      <c r="KR9" s="1"/>
      <c r="KS9" s="1">
        <v>14</v>
      </c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</row>
    <row r="10" spans="1:318" ht="18" customHeight="1" x14ac:dyDescent="0.25">
      <c r="A10" s="66"/>
      <c r="D10" s="264" t="s">
        <v>466</v>
      </c>
      <c r="H10" s="1">
        <f>SUM(J10:LF10)</f>
        <v>9</v>
      </c>
      <c r="I10" s="66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274"/>
      <c r="FH10" s="274"/>
      <c r="FI10" s="274"/>
      <c r="FJ10" s="274"/>
      <c r="FK10" s="274"/>
      <c r="FL10" s="270"/>
      <c r="FM10" s="274"/>
      <c r="FN10" s="274"/>
      <c r="FO10" s="270"/>
      <c r="FP10" s="274"/>
      <c r="FQ10" s="274"/>
      <c r="FR10" s="274"/>
      <c r="FS10" s="274"/>
      <c r="FT10" s="274"/>
      <c r="FU10" s="274"/>
      <c r="FV10" s="274"/>
      <c r="FW10" s="274"/>
      <c r="FX10" s="274"/>
      <c r="FY10" s="274"/>
      <c r="FZ10" s="274"/>
      <c r="GA10" s="274"/>
      <c r="GB10" s="274"/>
      <c r="GC10" s="274"/>
      <c r="GD10" s="270"/>
      <c r="GE10" s="274"/>
      <c r="GF10" s="274"/>
      <c r="GG10" s="274"/>
      <c r="GH10" s="274"/>
      <c r="GI10" s="274"/>
      <c r="GJ10" s="274"/>
      <c r="GK10" s="274"/>
      <c r="GL10" s="274"/>
      <c r="GM10" s="274"/>
      <c r="GN10" s="274"/>
      <c r="GO10" s="274"/>
      <c r="GP10" s="274"/>
      <c r="GQ10" s="274"/>
      <c r="GR10" s="274"/>
      <c r="GS10" s="274"/>
      <c r="GT10" s="274"/>
      <c r="GU10" s="274"/>
      <c r="GV10" s="274"/>
      <c r="GW10" s="274"/>
      <c r="GX10" s="274"/>
      <c r="GY10" s="274"/>
      <c r="GZ10" s="274"/>
      <c r="HA10" s="274"/>
      <c r="HB10" s="274"/>
      <c r="HC10" s="274"/>
      <c r="HD10" s="274"/>
      <c r="HE10" s="274"/>
      <c r="HF10" s="274"/>
      <c r="HG10" s="274"/>
      <c r="HH10" s="274"/>
      <c r="HI10" s="274"/>
      <c r="HJ10" s="274"/>
      <c r="HK10" s="274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274"/>
      <c r="JH10" s="274"/>
      <c r="JI10" s="274"/>
      <c r="JJ10" s="274"/>
      <c r="JK10" s="274"/>
      <c r="JL10" s="274"/>
      <c r="JM10" s="274"/>
      <c r="JN10" s="274"/>
      <c r="JO10" s="274"/>
      <c r="JP10" s="274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268">
        <f>1+3</f>
        <v>4</v>
      </c>
      <c r="KP10" s="268">
        <f>1+4</f>
        <v>5</v>
      </c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</row>
    <row r="11" spans="1:318" ht="18" customHeight="1" x14ac:dyDescent="0.25">
      <c r="A11" s="14">
        <v>3</v>
      </c>
      <c r="B11" s="13" t="s">
        <v>308</v>
      </c>
      <c r="C11" s="1">
        <v>6761</v>
      </c>
      <c r="D11" t="s">
        <v>309</v>
      </c>
      <c r="E11" s="1">
        <v>9560</v>
      </c>
      <c r="F11" s="1">
        <v>2011</v>
      </c>
      <c r="G11" t="s">
        <v>137</v>
      </c>
      <c r="H11" s="1">
        <f>SUM(J11:LF11)</f>
        <v>118.60000000000001</v>
      </c>
      <c r="I11" s="14">
        <f>Tabuľka2[[#This Row],[Stĺpec16]]+P12+Tabuľka2[[#This Row],[Stĺpec23]]+W12+Tabuľka2[[#This Row],[Stĺpec30]]+Tabuľka2[[#This Row],[Stĺpec37]]+BG12+Tabuľka2[[#This Row],[Stĺpec246]]+Tabuľka2[[#This Row],[Stĺpec289]]+KV13+Tabuľka2[[#This Row],[Stĺpec307]]+Tabuľka2[[#This Row],[Stĺpec306]]+LB13+Tabuľka2[[#This Row],[Stĺpec300]]+Tabuľka2[[#This Row],[Stĺpec299]]</f>
        <v>138.19999999999999</v>
      </c>
      <c r="J11" s="1"/>
      <c r="K11" s="1"/>
      <c r="L11" s="1"/>
      <c r="M11" s="1"/>
      <c r="N11" s="1"/>
      <c r="O11" s="1"/>
      <c r="P11" s="1">
        <v>12</v>
      </c>
      <c r="Q11" s="1"/>
      <c r="R11" s="1"/>
      <c r="S11" s="1"/>
      <c r="T11" s="1"/>
      <c r="U11" s="1"/>
      <c r="V11" s="1"/>
      <c r="W11" s="1">
        <v>12</v>
      </c>
      <c r="X11" s="1"/>
      <c r="Y11" s="1"/>
      <c r="Z11" s="1"/>
      <c r="AA11" s="1"/>
      <c r="AB11" s="1"/>
      <c r="AC11" s="1"/>
      <c r="AD11" s="1">
        <v>6</v>
      </c>
      <c r="AE11" s="1"/>
      <c r="AF11" s="1"/>
      <c r="AG11" s="1"/>
      <c r="AH11" s="1"/>
      <c r="AI11" s="1"/>
      <c r="AJ11" s="1"/>
      <c r="AK11" s="1"/>
      <c r="AL11" s="1">
        <v>10</v>
      </c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>
        <v>5</v>
      </c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>
        <f>(1+0)*1.2</f>
        <v>1.2</v>
      </c>
      <c r="DA11">
        <f>(2+0)*1.2</f>
        <v>2.4</v>
      </c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268"/>
      <c r="IK11" s="268"/>
      <c r="IL11" s="268"/>
      <c r="IM11" s="268"/>
      <c r="IN11" s="268">
        <f>4+5</f>
        <v>9</v>
      </c>
      <c r="IO11" s="268"/>
      <c r="IP11" s="268">
        <f>2+3</f>
        <v>5</v>
      </c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268"/>
      <c r="JH11" s="268"/>
      <c r="JI11" s="268"/>
      <c r="JJ11" s="268">
        <f>(0+4)*1.2</f>
        <v>4.8</v>
      </c>
      <c r="JK11" s="268"/>
      <c r="JL11" s="268"/>
      <c r="JM11" s="268"/>
      <c r="JN11" s="268"/>
      <c r="JO11" s="268">
        <f>1+3</f>
        <v>4</v>
      </c>
      <c r="JP11" s="268">
        <f>(2+4)*1.2</f>
        <v>7.1999999999999993</v>
      </c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>
        <v>9</v>
      </c>
      <c r="KY11" s="1">
        <v>13</v>
      </c>
      <c r="KZ11" s="1"/>
      <c r="LA11" s="1"/>
      <c r="LB11" s="1"/>
      <c r="LC11" s="1"/>
      <c r="LD11" s="1"/>
      <c r="LE11" s="1">
        <v>11</v>
      </c>
      <c r="LF11" s="1">
        <v>7</v>
      </c>
    </row>
    <row r="12" spans="1:318" ht="18" customHeight="1" x14ac:dyDescent="0.25">
      <c r="A12" s="66"/>
      <c r="D12" t="s">
        <v>310</v>
      </c>
      <c r="E12" s="1">
        <v>7458</v>
      </c>
      <c r="H12" s="1">
        <f>SUM(J12:LF12)</f>
        <v>37</v>
      </c>
      <c r="J12" s="1"/>
      <c r="K12" s="1"/>
      <c r="L12" s="1"/>
      <c r="M12" s="1"/>
      <c r="N12" s="1"/>
      <c r="O12" s="1"/>
      <c r="P12" s="1">
        <v>8</v>
      </c>
      <c r="Q12" s="1"/>
      <c r="R12" s="1"/>
      <c r="S12" s="1"/>
      <c r="T12" s="1"/>
      <c r="U12" s="1"/>
      <c r="V12" s="1"/>
      <c r="W12" s="1">
        <v>10</v>
      </c>
      <c r="X12" s="1"/>
      <c r="Y12" s="1"/>
      <c r="Z12" s="1"/>
      <c r="AA12" s="1"/>
      <c r="AB12" s="1"/>
      <c r="AC12" s="1"/>
      <c r="AD12" s="1">
        <v>4</v>
      </c>
      <c r="AE12" s="1"/>
      <c r="AF12" s="1"/>
      <c r="AG12" s="1"/>
      <c r="AH12" s="1"/>
      <c r="AI12" s="1"/>
      <c r="AJ12" s="1"/>
      <c r="AK12" s="1"/>
      <c r="AL12" s="1"/>
      <c r="AM12" s="1">
        <v>5</v>
      </c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>
        <v>10</v>
      </c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>
        <v>0</v>
      </c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</row>
    <row r="13" spans="1:318" ht="18" customHeight="1" x14ac:dyDescent="0.25">
      <c r="D13" t="s">
        <v>311</v>
      </c>
      <c r="E13" s="1">
        <v>8781</v>
      </c>
      <c r="F13" s="1">
        <v>2010</v>
      </c>
      <c r="H13" s="1">
        <f>SUM(J13:LF13)</f>
        <v>19</v>
      </c>
      <c r="J13" s="1"/>
      <c r="K13" s="1"/>
      <c r="L13" s="1"/>
      <c r="M13" s="1">
        <v>1</v>
      </c>
      <c r="N13" s="1"/>
      <c r="O13" s="1"/>
      <c r="P13" s="1"/>
      <c r="Q13" s="1"/>
      <c r="R13" s="1"/>
      <c r="S13" s="1"/>
      <c r="T13" s="1">
        <v>3</v>
      </c>
      <c r="U13" s="1"/>
      <c r="V13" s="1"/>
      <c r="W13" s="1"/>
      <c r="X13" s="1"/>
      <c r="Y13" s="1">
        <v>1</v>
      </c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268"/>
      <c r="KV13" s="268">
        <f>3+3</f>
        <v>6</v>
      </c>
      <c r="KW13" s="268"/>
      <c r="KX13" s="268"/>
      <c r="KY13" s="268"/>
      <c r="KZ13" s="268"/>
      <c r="LA13" s="268"/>
      <c r="LB13" s="268">
        <f>3+5</f>
        <v>8</v>
      </c>
      <c r="LC13" s="1"/>
      <c r="LD13" s="1"/>
      <c r="LE13" s="1"/>
      <c r="LF13" s="1"/>
    </row>
    <row r="14" spans="1:318" ht="18" customHeight="1" x14ac:dyDescent="0.25">
      <c r="D14" s="106" t="s">
        <v>139</v>
      </c>
      <c r="E14" s="1">
        <v>10194</v>
      </c>
      <c r="F14" s="1">
        <v>2014</v>
      </c>
      <c r="H14" s="1">
        <f>SUM(J14:LF14)</f>
        <v>3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D14">
        <v>2</v>
      </c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268"/>
      <c r="IK14" s="268"/>
      <c r="IL14" s="268"/>
      <c r="IM14" s="268">
        <v>1</v>
      </c>
      <c r="IN14" s="268">
        <v>0</v>
      </c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</row>
    <row r="15" spans="1:318" ht="18" customHeight="1" x14ac:dyDescent="0.25">
      <c r="A15" s="66"/>
      <c r="D15" s="105" t="s">
        <v>312</v>
      </c>
      <c r="E15" s="1">
        <v>10991</v>
      </c>
      <c r="H15" s="1">
        <f>SUM(J15:LF15)</f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>
        <v>0</v>
      </c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</row>
    <row r="16" spans="1:318" ht="18" customHeight="1" x14ac:dyDescent="0.25">
      <c r="A16" s="66"/>
      <c r="D16" s="105" t="s">
        <v>313</v>
      </c>
      <c r="E16" s="1">
        <v>7465</v>
      </c>
      <c r="H16" s="1">
        <f>SUM(J16:LF16)</f>
        <v>2</v>
      </c>
      <c r="I16" s="66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E16">
        <v>2</v>
      </c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</row>
    <row r="17" spans="1:318" ht="18" customHeight="1" x14ac:dyDescent="0.25">
      <c r="A17" s="66"/>
      <c r="D17" s="105" t="s">
        <v>293</v>
      </c>
      <c r="E17" s="1">
        <v>11409</v>
      </c>
      <c r="H17" s="1">
        <f>SUM(J17:LF17)</f>
        <v>0</v>
      </c>
      <c r="I17" s="66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E17">
        <v>0</v>
      </c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</row>
    <row r="18" spans="1:318" s="12" customFormat="1" ht="18" customHeight="1" x14ac:dyDescent="0.25">
      <c r="A18" s="14">
        <v>4</v>
      </c>
      <c r="B18" s="13" t="s">
        <v>306</v>
      </c>
      <c r="C18" s="1">
        <v>8085</v>
      </c>
      <c r="D18" t="s">
        <v>307</v>
      </c>
      <c r="E18" s="1">
        <v>9143</v>
      </c>
      <c r="F18" s="1">
        <v>2011</v>
      </c>
      <c r="G18" t="s">
        <v>251</v>
      </c>
      <c r="H18" s="1">
        <f>SUM(J18:LF18)</f>
        <v>115.6</v>
      </c>
      <c r="I18" s="14">
        <f>Tabuľka2[[#This Row],[Stĺpec8]]</f>
        <v>115.6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>
        <v>11</v>
      </c>
      <c r="CN18" s="1"/>
      <c r="CO18" s="1"/>
      <c r="CP18" s="1"/>
      <c r="CQ18" s="1">
        <v>9</v>
      </c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/>
      <c r="DJ18"/>
      <c r="DK18"/>
      <c r="DL18"/>
      <c r="DM18">
        <f>4+7</f>
        <v>11</v>
      </c>
      <c r="DN18"/>
      <c r="DO18"/>
      <c r="DP18"/>
      <c r="DQ18"/>
      <c r="DR18"/>
      <c r="DS18"/>
      <c r="DT18"/>
      <c r="DU18">
        <f>4+7</f>
        <v>11</v>
      </c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/>
      <c r="ER18"/>
      <c r="ES18"/>
      <c r="ET18"/>
      <c r="EU18">
        <f>4+7</f>
        <v>11</v>
      </c>
      <c r="EV18"/>
      <c r="EW18"/>
      <c r="EX18"/>
      <c r="EY18"/>
      <c r="EZ18"/>
      <c r="FA18"/>
      <c r="FB18"/>
      <c r="FC18">
        <f>4+6</f>
        <v>10</v>
      </c>
      <c r="FD18"/>
      <c r="FE18"/>
      <c r="FF18"/>
      <c r="FG18" s="268"/>
      <c r="FH18" s="268"/>
      <c r="FI18" s="268"/>
      <c r="FJ18" s="268"/>
      <c r="FK18" s="268"/>
      <c r="FL18" s="264"/>
      <c r="FM18" s="268"/>
      <c r="FN18" s="268"/>
      <c r="FO18" s="264"/>
      <c r="FP18" s="268"/>
      <c r="FQ18" s="268"/>
      <c r="FR18" s="268"/>
      <c r="FS18" s="268"/>
      <c r="FT18" s="268"/>
      <c r="FU18" s="268"/>
      <c r="FV18" s="268"/>
      <c r="FW18" s="268"/>
      <c r="FX18" s="268"/>
      <c r="FY18" s="268"/>
      <c r="FZ18" s="268"/>
      <c r="GA18" s="268"/>
      <c r="GB18" s="268"/>
      <c r="GC18" s="268"/>
      <c r="GD18" s="264"/>
      <c r="GE18" s="268"/>
      <c r="GF18" s="268"/>
      <c r="GG18" s="268"/>
      <c r="GH18" s="268">
        <f>4+7</f>
        <v>11</v>
      </c>
      <c r="GI18" s="268"/>
      <c r="GJ18" s="268"/>
      <c r="GK18" s="268"/>
      <c r="GL18" s="268"/>
      <c r="GM18" s="268"/>
      <c r="GN18" s="268"/>
      <c r="GO18" s="268"/>
      <c r="GP18" s="268">
        <f>4+5</f>
        <v>9</v>
      </c>
      <c r="GQ18" s="268"/>
      <c r="GR18" s="268"/>
      <c r="GS18" s="268"/>
      <c r="GT18" s="268"/>
      <c r="GU18" s="268"/>
      <c r="GV18" s="268"/>
      <c r="GW18" s="268"/>
      <c r="GX18" s="268"/>
      <c r="GY18" s="268">
        <f>4+7</f>
        <v>11</v>
      </c>
      <c r="GZ18" s="268"/>
      <c r="HA18" s="268"/>
      <c r="HB18" s="268"/>
      <c r="HC18" s="268"/>
      <c r="HD18" s="268"/>
      <c r="HE18" s="268"/>
      <c r="HF18" s="268"/>
      <c r="HG18" s="268"/>
      <c r="HH18" s="268"/>
      <c r="HI18" s="268"/>
      <c r="HJ18" s="268"/>
      <c r="HK18" s="268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268"/>
      <c r="JH18" s="268"/>
      <c r="JI18" s="268">
        <f>(4+5)*1.2</f>
        <v>10.799999999999999</v>
      </c>
      <c r="JJ18" s="268"/>
      <c r="JK18" s="268"/>
      <c r="JL18" s="268"/>
      <c r="JM18" s="268"/>
      <c r="JN18" s="268"/>
      <c r="JO18" s="268">
        <f>(4+5)*1.2</f>
        <v>10.799999999999999</v>
      </c>
      <c r="JP18" s="268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</row>
    <row r="19" spans="1:318" ht="18" customHeight="1" x14ac:dyDescent="0.25">
      <c r="A19" s="14">
        <v>5</v>
      </c>
      <c r="B19" s="13" t="s">
        <v>314</v>
      </c>
      <c r="C19" s="1">
        <v>7855</v>
      </c>
      <c r="D19" t="s">
        <v>315</v>
      </c>
      <c r="E19" s="1">
        <v>10622</v>
      </c>
      <c r="F19" s="1">
        <v>2011</v>
      </c>
      <c r="G19" t="s">
        <v>146</v>
      </c>
      <c r="H19" s="1">
        <f>SUM(J19:LF19)</f>
        <v>96.600000000000009</v>
      </c>
      <c r="I19" s="14">
        <f>Tabuľka2[[#This Row],[Stĺpec8]]</f>
        <v>96.600000000000009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>
        <v>7</v>
      </c>
      <c r="CN19" s="1">
        <v>5</v>
      </c>
      <c r="CO19" s="1"/>
      <c r="CP19" s="1"/>
      <c r="CQ19" s="1"/>
      <c r="CR19" s="1"/>
      <c r="CS19" s="1"/>
      <c r="CT19" s="1"/>
      <c r="CU19" s="1">
        <v>4</v>
      </c>
      <c r="CV19" s="1"/>
      <c r="CW19" s="1"/>
      <c r="CX19" s="1"/>
      <c r="CY19" s="1">
        <v>9</v>
      </c>
      <c r="CZ19" s="1"/>
      <c r="DA19" s="1"/>
      <c r="DB19" s="1"/>
      <c r="DC19" s="1"/>
      <c r="DD19" s="1"/>
      <c r="DE19" s="1"/>
      <c r="DF19" s="1"/>
      <c r="DG19" s="1"/>
      <c r="DH19" s="1"/>
      <c r="DN19">
        <f>6+9</f>
        <v>15</v>
      </c>
      <c r="DV19">
        <f>3+5</f>
        <v>8</v>
      </c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V19">
        <f>1+3</f>
        <v>4</v>
      </c>
      <c r="FD19">
        <f>1+3</f>
        <v>4</v>
      </c>
      <c r="FG19" s="268"/>
      <c r="FH19" s="268"/>
      <c r="FI19" s="268"/>
      <c r="FJ19" s="268"/>
      <c r="FK19" s="268"/>
      <c r="FL19" s="264"/>
      <c r="FM19" s="268"/>
      <c r="FN19" s="268"/>
      <c r="FO19" s="264"/>
      <c r="FP19" s="268"/>
      <c r="FQ19" s="268"/>
      <c r="FR19" s="268"/>
      <c r="FS19" s="268"/>
      <c r="FT19" s="268"/>
      <c r="FU19" s="268"/>
      <c r="FV19" s="268"/>
      <c r="FW19" s="268"/>
      <c r="FX19" s="268"/>
      <c r="FY19" s="268"/>
      <c r="FZ19" s="268"/>
      <c r="GA19" s="268"/>
      <c r="GB19" s="268"/>
      <c r="GC19" s="268"/>
      <c r="GD19" s="264"/>
      <c r="GE19" s="268"/>
      <c r="GF19" s="268"/>
      <c r="GG19" s="268"/>
      <c r="GH19" s="268"/>
      <c r="GI19" s="268">
        <f>2+4</f>
        <v>6</v>
      </c>
      <c r="GJ19" s="268"/>
      <c r="GK19" s="268"/>
      <c r="GL19" s="268"/>
      <c r="GM19" s="268"/>
      <c r="GN19" s="268"/>
      <c r="GO19" s="268"/>
      <c r="GP19" s="268"/>
      <c r="GQ19" s="268"/>
      <c r="GR19" s="268">
        <v>3</v>
      </c>
      <c r="GS19" s="268"/>
      <c r="GT19" s="268"/>
      <c r="GU19" s="268"/>
      <c r="GV19" s="268"/>
      <c r="GW19" s="268"/>
      <c r="GX19" s="268"/>
      <c r="GY19" s="268">
        <f>3+5</f>
        <v>8</v>
      </c>
      <c r="GZ19" s="268"/>
      <c r="HA19" s="268"/>
      <c r="HB19" s="268"/>
      <c r="HC19" s="268"/>
      <c r="HD19" s="268"/>
      <c r="HE19" s="268"/>
      <c r="HF19" s="268"/>
      <c r="HG19" s="268"/>
      <c r="HH19" s="268"/>
      <c r="HI19" s="268"/>
      <c r="HJ19" s="268"/>
      <c r="HK19" s="268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268"/>
      <c r="JH19" s="268"/>
      <c r="JI19" s="268">
        <f>(3+4)*1.2</f>
        <v>8.4</v>
      </c>
      <c r="JJ19" s="268">
        <f>3+5</f>
        <v>8</v>
      </c>
      <c r="JK19" s="268"/>
      <c r="JL19" s="268"/>
      <c r="JM19" s="268"/>
      <c r="JN19" s="268"/>
      <c r="JO19" s="268">
        <f>(3+3)*1.2</f>
        <v>7.1999999999999993</v>
      </c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</row>
    <row r="20" spans="1:318" ht="18" customHeight="1" x14ac:dyDescent="0.25">
      <c r="A20" s="14">
        <v>6</v>
      </c>
      <c r="B20" s="13" t="s">
        <v>316</v>
      </c>
      <c r="C20" s="1">
        <v>7124</v>
      </c>
      <c r="D20" t="s">
        <v>317</v>
      </c>
      <c r="E20" s="1">
        <v>6813</v>
      </c>
      <c r="F20" s="1">
        <v>2004</v>
      </c>
      <c r="G20" t="s">
        <v>146</v>
      </c>
      <c r="H20" s="1">
        <f>SUM(J20:LF20)</f>
        <v>51.2</v>
      </c>
      <c r="I20" s="14">
        <f>Tabuľka2[[#This Row],[Stĺpec8]]</f>
        <v>51.2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>
        <v>3</v>
      </c>
      <c r="AN20" s="1">
        <v>7</v>
      </c>
      <c r="AO20" s="1"/>
      <c r="AP20" s="1"/>
      <c r="AQ20" s="1">
        <v>5</v>
      </c>
      <c r="AR20" s="1">
        <v>4</v>
      </c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>
        <v>1</v>
      </c>
      <c r="CN20" s="1">
        <v>2</v>
      </c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>
        <v>4</v>
      </c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268"/>
      <c r="FH20" s="268"/>
      <c r="FI20" s="268"/>
      <c r="FJ20" s="268"/>
      <c r="FK20" s="268"/>
      <c r="FL20" s="264"/>
      <c r="FM20" s="268"/>
      <c r="FN20" s="268"/>
      <c r="FO20" s="264"/>
      <c r="FP20" s="268"/>
      <c r="FQ20" s="268"/>
      <c r="FR20" s="268"/>
      <c r="FS20" s="268"/>
      <c r="FT20" s="268"/>
      <c r="FU20" s="268"/>
      <c r="FV20" s="268"/>
      <c r="FW20" s="268"/>
      <c r="FX20" s="268"/>
      <c r="FY20" s="264">
        <v>5</v>
      </c>
      <c r="FZ20" s="268"/>
      <c r="GA20" s="264">
        <f>4+3</f>
        <v>7</v>
      </c>
      <c r="GB20" s="268"/>
      <c r="GC20" s="268"/>
      <c r="GD20" s="264"/>
      <c r="GE20" s="268"/>
      <c r="GF20" s="268"/>
      <c r="GG20" s="268"/>
      <c r="GH20" s="268"/>
      <c r="GI20" s="268"/>
      <c r="GJ20" s="268"/>
      <c r="GK20" s="268"/>
      <c r="GL20" s="268"/>
      <c r="GM20" s="268"/>
      <c r="GN20" s="268"/>
      <c r="GO20" s="268"/>
      <c r="GP20" s="268">
        <v>0</v>
      </c>
      <c r="GQ20" s="268">
        <v>2</v>
      </c>
      <c r="GR20" s="268"/>
      <c r="GS20" s="268"/>
      <c r="GT20" s="268"/>
      <c r="GU20" s="268"/>
      <c r="GV20" s="268"/>
      <c r="GW20" s="268"/>
      <c r="GX20" s="268"/>
      <c r="GY20" s="268"/>
      <c r="GZ20" s="268">
        <v>3</v>
      </c>
      <c r="HA20" s="268"/>
      <c r="HB20" s="268"/>
      <c r="HC20" s="268"/>
      <c r="HD20" s="268"/>
      <c r="HE20" s="268"/>
      <c r="HF20" s="268"/>
      <c r="HG20" s="268"/>
      <c r="HH20" s="268"/>
      <c r="HI20" s="268"/>
      <c r="HJ20" s="268"/>
      <c r="HK20" s="268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>
        <v>0</v>
      </c>
      <c r="JJ20" s="1"/>
      <c r="JK20" s="1"/>
      <c r="JL20" s="1"/>
      <c r="JM20" s="1"/>
      <c r="JN20" s="1"/>
      <c r="JO20" s="1">
        <f>2+1.2</f>
        <v>3.2</v>
      </c>
      <c r="JP20" s="1"/>
      <c r="JQ20" s="1"/>
      <c r="JR20" s="1"/>
      <c r="JS20" s="1"/>
      <c r="JT20" s="1"/>
      <c r="JU20" s="1"/>
      <c r="JV20" s="1">
        <v>2</v>
      </c>
      <c r="JW20" s="1">
        <v>3</v>
      </c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</row>
    <row r="21" spans="1:318" s="12" customFormat="1" ht="18" customHeight="1" x14ac:dyDescent="0.25">
      <c r="A21" s="14">
        <v>7</v>
      </c>
      <c r="B21" s="13" t="s">
        <v>320</v>
      </c>
      <c r="C21" s="1">
        <v>7468</v>
      </c>
      <c r="D21" t="s">
        <v>321</v>
      </c>
      <c r="E21" s="1">
        <v>9147</v>
      </c>
      <c r="F21" s="1">
        <v>2009</v>
      </c>
      <c r="G21" t="s">
        <v>218</v>
      </c>
      <c r="H21" s="1">
        <f>SUM(J21:LF21)</f>
        <v>11</v>
      </c>
      <c r="I21" s="14">
        <f>SUM(H21:H22)</f>
        <v>36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>
        <v>2</v>
      </c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>
        <v>0</v>
      </c>
      <c r="AZ21" s="1"/>
      <c r="BA21" s="1">
        <v>5</v>
      </c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/>
      <c r="EB21"/>
      <c r="EC21"/>
      <c r="ED21">
        <v>1</v>
      </c>
      <c r="EE21"/>
      <c r="EF21">
        <v>3</v>
      </c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268"/>
      <c r="KC21" s="268"/>
      <c r="KD21" s="268">
        <v>0</v>
      </c>
      <c r="KE21" s="268"/>
      <c r="KF21" s="268"/>
      <c r="KG21" s="268"/>
      <c r="KH21" s="268">
        <v>0</v>
      </c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</row>
    <row r="22" spans="1:318" s="12" customFormat="1" ht="18" customHeight="1" x14ac:dyDescent="0.25">
      <c r="A22" s="14"/>
      <c r="B22" s="13"/>
      <c r="C22" s="1"/>
      <c r="D22" t="s">
        <v>229</v>
      </c>
      <c r="E22" s="1">
        <v>10715</v>
      </c>
      <c r="F22" s="1">
        <v>2013</v>
      </c>
      <c r="G22"/>
      <c r="H22" s="1">
        <f>SUM(J22:LF22)</f>
        <v>25</v>
      </c>
      <c r="I22" s="66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>
        <v>3</v>
      </c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>
        <v>1</v>
      </c>
      <c r="AZ22" s="1"/>
      <c r="BA22" s="1">
        <v>7</v>
      </c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268"/>
      <c r="KC22" s="268"/>
      <c r="KD22" s="268">
        <f>4+3</f>
        <v>7</v>
      </c>
      <c r="KE22" s="268"/>
      <c r="KF22" s="268"/>
      <c r="KG22" s="268"/>
      <c r="KH22" s="268">
        <f>3+4</f>
        <v>7</v>
      </c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</row>
    <row r="23" spans="1:318" s="12" customFormat="1" ht="18" customHeight="1" x14ac:dyDescent="0.25">
      <c r="A23" s="14">
        <v>8</v>
      </c>
      <c r="B23" s="13" t="s">
        <v>318</v>
      </c>
      <c r="C23" s="1">
        <v>8349</v>
      </c>
      <c r="D23" t="s">
        <v>319</v>
      </c>
      <c r="E23" s="1">
        <v>10933</v>
      </c>
      <c r="F23" s="1">
        <v>2006</v>
      </c>
      <c r="G23" t="s">
        <v>137</v>
      </c>
      <c r="H23" s="1">
        <f>SUM(J23:LF23)</f>
        <v>26.4</v>
      </c>
      <c r="I23" s="14">
        <f>Tabuľka2[[#This Row],[Stĺpec8]]</f>
        <v>26.4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>
        <v>6</v>
      </c>
      <c r="BX23" s="1">
        <v>12</v>
      </c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268"/>
      <c r="JH23" s="268"/>
      <c r="JI23" s="268"/>
      <c r="JJ23" s="268">
        <f>(0+2)*1.2</f>
        <v>2.4</v>
      </c>
      <c r="JK23" s="268"/>
      <c r="JL23" s="268"/>
      <c r="JM23" s="268"/>
      <c r="JN23" s="268"/>
      <c r="JO23" s="268"/>
      <c r="JP23" s="268">
        <f>(1+4)*1.2</f>
        <v>6</v>
      </c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</row>
    <row r="24" spans="1:318" s="12" customFormat="1" ht="18" customHeight="1" x14ac:dyDescent="0.25">
      <c r="A24" s="14">
        <v>9</v>
      </c>
      <c r="B24" s="13" t="s">
        <v>322</v>
      </c>
      <c r="C24" s="1">
        <v>7530</v>
      </c>
      <c r="D24" s="4" t="s">
        <v>323</v>
      </c>
      <c r="E24" s="1">
        <v>10474</v>
      </c>
      <c r="F24" s="1">
        <v>2011</v>
      </c>
      <c r="G24" s="4" t="s">
        <v>324</v>
      </c>
      <c r="H24" s="1">
        <f>SUM(J24:LF24)</f>
        <v>15.6</v>
      </c>
      <c r="I24" s="14">
        <f>H24</f>
        <v>15.6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>
        <v>1.2</v>
      </c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/>
      <c r="DC24">
        <f>(0+3)*1.2</f>
        <v>3.5999999999999996</v>
      </c>
      <c r="DD24"/>
      <c r="DE24">
        <f>(0+4)*1.2</f>
        <v>4.8</v>
      </c>
      <c r="DF24"/>
      <c r="DG24">
        <f>(0+5)*1.2</f>
        <v>6</v>
      </c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</row>
    <row r="25" spans="1:318" ht="18" customHeight="1" x14ac:dyDescent="0.25">
      <c r="A25" s="14">
        <v>10</v>
      </c>
      <c r="B25" s="13" t="s">
        <v>325</v>
      </c>
      <c r="C25" s="1">
        <v>8828</v>
      </c>
      <c r="D25" s="105" t="s">
        <v>326</v>
      </c>
      <c r="E25" s="1">
        <v>7701</v>
      </c>
      <c r="F25" s="1">
        <v>2007</v>
      </c>
      <c r="G25" s="4" t="s">
        <v>292</v>
      </c>
      <c r="H25" s="1">
        <f>SUM(J25:LF25)</f>
        <v>7</v>
      </c>
      <c r="I25" s="14">
        <f>Tabuľka2[[#This Row],[Stĺpec8]]</f>
        <v>7</v>
      </c>
      <c r="J25" s="1"/>
      <c r="K25" s="1"/>
      <c r="L25" s="1"/>
      <c r="M25" s="1"/>
      <c r="N25" s="1">
        <v>2</v>
      </c>
      <c r="O25" s="1"/>
      <c r="P25" s="1"/>
      <c r="Q25" s="1"/>
      <c r="R25" s="1"/>
      <c r="S25" s="1"/>
      <c r="T25" s="1"/>
      <c r="U25" s="1">
        <v>2</v>
      </c>
      <c r="V25" s="1"/>
      <c r="W25" s="1"/>
      <c r="X25" s="1"/>
      <c r="Y25" s="1"/>
      <c r="Z25" s="1"/>
      <c r="AA25" s="1">
        <v>2</v>
      </c>
      <c r="AB25" s="1"/>
      <c r="AC25" s="1"/>
      <c r="AD25" s="1"/>
      <c r="AE25" s="1"/>
      <c r="AF25" s="1"/>
      <c r="AG25" s="1"/>
      <c r="AH25" s="1"/>
      <c r="AI25" s="1"/>
      <c r="AJ25" s="1"/>
      <c r="AK25" s="1">
        <v>1</v>
      </c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</row>
    <row r="26" spans="1:318" ht="18" customHeight="1" x14ac:dyDescent="0.25">
      <c r="A26" s="66"/>
      <c r="D26" s="105" t="s">
        <v>327</v>
      </c>
      <c r="E26" s="1">
        <v>8780</v>
      </c>
      <c r="G26" s="4"/>
      <c r="H26" s="1">
        <f>SUM(J26:LF26)</f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>
        <v>0</v>
      </c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>
        <v>0</v>
      </c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</row>
    <row r="27" spans="1:318" s="12" customFormat="1" ht="18" customHeight="1" x14ac:dyDescent="0.25">
      <c r="A27" s="14">
        <v>11</v>
      </c>
      <c r="B27" s="13" t="s">
        <v>328</v>
      </c>
      <c r="C27" s="1">
        <v>7931</v>
      </c>
      <c r="D27" t="s">
        <v>329</v>
      </c>
      <c r="E27" s="1">
        <v>10096</v>
      </c>
      <c r="F27" s="1">
        <v>2004</v>
      </c>
      <c r="G27" t="s">
        <v>330</v>
      </c>
      <c r="H27" s="1">
        <f>SUM(J27:LF27)</f>
        <v>6</v>
      </c>
      <c r="I27" s="14">
        <f>H27</f>
        <v>6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>
        <v>0</v>
      </c>
      <c r="AZ27" s="1">
        <v>0</v>
      </c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/>
      <c r="DJ27"/>
      <c r="DK27"/>
      <c r="DL27">
        <v>0</v>
      </c>
      <c r="DM27">
        <v>0</v>
      </c>
      <c r="DN27"/>
      <c r="DO27"/>
      <c r="DP27"/>
      <c r="DQ27"/>
      <c r="DR27"/>
      <c r="DS27"/>
      <c r="DT27">
        <v>0</v>
      </c>
      <c r="DU27">
        <v>0</v>
      </c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>
        <v>0</v>
      </c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268"/>
      <c r="FH27" s="268"/>
      <c r="FI27" s="264">
        <v>0</v>
      </c>
      <c r="FJ27" s="264">
        <v>1</v>
      </c>
      <c r="FK27" s="268"/>
      <c r="FL27" s="264"/>
      <c r="FM27" s="268"/>
      <c r="FN27" s="268"/>
      <c r="FO27" s="264"/>
      <c r="FP27" s="268"/>
      <c r="FQ27" s="268"/>
      <c r="FR27" s="268"/>
      <c r="FS27" s="268"/>
      <c r="FT27" s="268"/>
      <c r="FU27" s="268"/>
      <c r="FV27" s="268"/>
      <c r="FW27" s="268"/>
      <c r="FX27" s="268"/>
      <c r="FY27" s="268"/>
      <c r="FZ27" s="268"/>
      <c r="GA27" s="268"/>
      <c r="GB27" s="268"/>
      <c r="GC27" s="268"/>
      <c r="GD27" s="264"/>
      <c r="GE27" s="268"/>
      <c r="GF27" s="268"/>
      <c r="GG27" s="268"/>
      <c r="GH27" s="268">
        <v>0</v>
      </c>
      <c r="GI27" s="268"/>
      <c r="GJ27" s="268"/>
      <c r="GK27" s="268"/>
      <c r="GL27" s="268"/>
      <c r="GM27" s="268"/>
      <c r="GN27" s="268"/>
      <c r="GO27" s="268"/>
      <c r="GP27" s="268">
        <v>1</v>
      </c>
      <c r="GQ27" s="268">
        <v>3</v>
      </c>
      <c r="GR27" s="268"/>
      <c r="GS27" s="268"/>
      <c r="GT27" s="268"/>
      <c r="GU27" s="268"/>
      <c r="GV27" s="268"/>
      <c r="GW27" s="268">
        <v>0</v>
      </c>
      <c r="GX27" s="268"/>
      <c r="GY27" s="268"/>
      <c r="GZ27" s="268"/>
      <c r="HA27" s="268"/>
      <c r="HB27" s="268"/>
      <c r="HC27" s="268"/>
      <c r="HD27" s="268"/>
      <c r="HE27" s="268"/>
      <c r="HF27" s="268"/>
      <c r="HG27" s="268"/>
      <c r="HH27" s="268"/>
      <c r="HI27" s="268"/>
      <c r="HJ27" s="268"/>
      <c r="HK27" s="268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268">
        <v>0</v>
      </c>
      <c r="IZ27" s="268">
        <v>1</v>
      </c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268"/>
      <c r="KC27" s="268"/>
      <c r="KD27" s="268">
        <v>0</v>
      </c>
      <c r="KE27" s="268"/>
      <c r="KF27" s="268"/>
      <c r="KG27" s="268"/>
      <c r="KH27" s="268">
        <v>0</v>
      </c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</row>
    <row r="28" spans="1:318" s="12" customFormat="1" ht="18" customHeight="1" x14ac:dyDescent="0.25">
      <c r="A28" s="14">
        <v>12</v>
      </c>
      <c r="B28" s="13" t="s">
        <v>470</v>
      </c>
      <c r="C28" s="1">
        <v>8837</v>
      </c>
      <c r="D28" t="s">
        <v>384</v>
      </c>
      <c r="E28" s="1">
        <v>11205</v>
      </c>
      <c r="F28" s="1">
        <v>2012</v>
      </c>
      <c r="G28" t="s">
        <v>218</v>
      </c>
      <c r="H28" s="1">
        <f>SUM(J28:LF28)</f>
        <v>5</v>
      </c>
      <c r="I28" s="14">
        <f>H28</f>
        <v>5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274"/>
      <c r="FH28" s="274"/>
      <c r="FI28" s="270"/>
      <c r="FJ28" s="270"/>
      <c r="FK28" s="274"/>
      <c r="FL28" s="270"/>
      <c r="FM28" s="274"/>
      <c r="FN28" s="274"/>
      <c r="FO28" s="270"/>
      <c r="FP28" s="274"/>
      <c r="FQ28" s="274"/>
      <c r="FR28" s="274"/>
      <c r="FS28" s="274"/>
      <c r="FT28" s="274"/>
      <c r="FU28" s="274"/>
      <c r="FV28" s="274"/>
      <c r="FW28" s="274"/>
      <c r="FX28" s="274"/>
      <c r="FY28" s="274"/>
      <c r="FZ28" s="274"/>
      <c r="GA28" s="274"/>
      <c r="GB28" s="274"/>
      <c r="GC28" s="274"/>
      <c r="GD28" s="270"/>
      <c r="GE28" s="274"/>
      <c r="GF28" s="274"/>
      <c r="GG28" s="274"/>
      <c r="GH28" s="274"/>
      <c r="GI28" s="274"/>
      <c r="GJ28" s="274"/>
      <c r="GK28" s="274"/>
      <c r="GL28" s="274"/>
      <c r="GM28" s="274"/>
      <c r="GN28" s="274"/>
      <c r="GO28" s="274"/>
      <c r="GP28" s="274"/>
      <c r="GQ28" s="274"/>
      <c r="GR28" s="274"/>
      <c r="GS28" s="274"/>
      <c r="GT28" s="274"/>
      <c r="GU28" s="274"/>
      <c r="GV28" s="274"/>
      <c r="GW28" s="274"/>
      <c r="GX28" s="274"/>
      <c r="GY28" s="274"/>
      <c r="GZ28" s="274"/>
      <c r="HA28" s="274"/>
      <c r="HB28" s="274"/>
      <c r="HC28" s="274"/>
      <c r="HD28" s="274"/>
      <c r="HE28" s="274"/>
      <c r="HF28" s="274"/>
      <c r="HG28" s="274"/>
      <c r="HH28" s="274"/>
      <c r="HI28" s="274"/>
      <c r="HJ28" s="274"/>
      <c r="HK28" s="274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274"/>
      <c r="IZ28" s="274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268"/>
      <c r="KC28" s="268">
        <v>5</v>
      </c>
      <c r="KD28" s="274"/>
      <c r="KE28" s="274"/>
      <c r="KF28" s="274"/>
      <c r="KG28" s="274"/>
      <c r="KH28" s="274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</row>
    <row r="29" spans="1:318" s="12" customFormat="1" ht="18" customHeight="1" x14ac:dyDescent="0.25">
      <c r="A29" s="14">
        <v>13</v>
      </c>
      <c r="B29" s="13" t="s">
        <v>331</v>
      </c>
      <c r="C29" s="1">
        <v>9094</v>
      </c>
      <c r="D29" t="s">
        <v>332</v>
      </c>
      <c r="E29" s="1">
        <v>11642</v>
      </c>
      <c r="F29" s="1">
        <v>2015</v>
      </c>
      <c r="G29" t="s">
        <v>206</v>
      </c>
      <c r="H29" s="1">
        <f>SUM(J29:LF29)</f>
        <v>3</v>
      </c>
      <c r="I29" s="14">
        <f>H29</f>
        <v>3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268"/>
      <c r="JT29" s="268">
        <v>0</v>
      </c>
      <c r="JU29" s="268">
        <v>3</v>
      </c>
      <c r="JV29" s="268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</row>
    <row r="30" spans="1:318" s="12" customFormat="1" ht="18" customHeight="1" x14ac:dyDescent="0.25">
      <c r="A30" s="14">
        <v>14</v>
      </c>
      <c r="B30" s="13" t="s">
        <v>333</v>
      </c>
      <c r="C30" s="1">
        <v>6225</v>
      </c>
      <c r="D30" s="4" t="s">
        <v>334</v>
      </c>
      <c r="E30" s="1">
        <v>9944</v>
      </c>
      <c r="F30" s="1">
        <v>2009</v>
      </c>
      <c r="G30" s="4" t="s">
        <v>335</v>
      </c>
      <c r="H30" s="1">
        <f>SUM(J30:LF30)</f>
        <v>0</v>
      </c>
      <c r="I30" s="14">
        <f>SUM(H30:H31)</f>
        <v>2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/>
      <c r="DJ30"/>
      <c r="DK30"/>
      <c r="DL30"/>
      <c r="DM30"/>
      <c r="DN30"/>
      <c r="DO30"/>
      <c r="DP30"/>
      <c r="DQ30"/>
      <c r="DR30"/>
      <c r="DS30"/>
      <c r="DT30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268">
        <v>0</v>
      </c>
      <c r="IK30" s="268"/>
      <c r="IL30" s="268"/>
      <c r="IM30" s="268">
        <v>0</v>
      </c>
      <c r="IN30" s="268"/>
      <c r="IO30" s="268"/>
      <c r="IP30" s="268"/>
      <c r="IQ30" s="268"/>
      <c r="IR30" s="268"/>
      <c r="IS30" s="268">
        <v>0</v>
      </c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</row>
    <row r="31" spans="1:318" s="12" customFormat="1" ht="18" customHeight="1" x14ac:dyDescent="0.25">
      <c r="A31" s="66"/>
      <c r="B31" s="13"/>
      <c r="C31" s="1"/>
      <c r="D31" s="4" t="s">
        <v>336</v>
      </c>
      <c r="E31" s="1">
        <v>8175</v>
      </c>
      <c r="F31" s="1">
        <v>2002</v>
      </c>
      <c r="G31" s="4"/>
      <c r="H31" s="1">
        <f>SUM(J31:LF31)</f>
        <v>2</v>
      </c>
      <c r="I31" s="14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/>
      <c r="DJ31"/>
      <c r="DK31"/>
      <c r="DL31"/>
      <c r="DM31"/>
      <c r="DN31"/>
      <c r="DO31"/>
      <c r="DP31"/>
      <c r="DQ31"/>
      <c r="DR31"/>
      <c r="DS31"/>
      <c r="DT3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268"/>
      <c r="IK31" s="268">
        <f>1+1</f>
        <v>2</v>
      </c>
      <c r="IL31" s="268"/>
      <c r="IM31" s="268"/>
      <c r="IN31" s="268">
        <v>0</v>
      </c>
      <c r="IO31" s="268"/>
      <c r="IP31" s="268"/>
      <c r="IQ31" s="268"/>
      <c r="IR31" s="268"/>
      <c r="IS31" s="268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</row>
    <row r="32" spans="1:318" s="12" customFormat="1" ht="18" customHeight="1" x14ac:dyDescent="0.25">
      <c r="A32" s="66"/>
      <c r="B32" s="13" t="s">
        <v>469</v>
      </c>
      <c r="C32" s="1">
        <v>8366</v>
      </c>
      <c r="D32" s="4" t="s">
        <v>384</v>
      </c>
      <c r="E32" s="1">
        <v>11205</v>
      </c>
      <c r="F32" s="1">
        <v>2012</v>
      </c>
      <c r="G32" s="4" t="s">
        <v>218</v>
      </c>
      <c r="H32" s="1">
        <f>SUM(J32:LF32)</f>
        <v>2</v>
      </c>
      <c r="I32" s="14">
        <f>H32</f>
        <v>2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274"/>
      <c r="IK32" s="274"/>
      <c r="IL32" s="274"/>
      <c r="IM32" s="274"/>
      <c r="IN32" s="274"/>
      <c r="IO32" s="274"/>
      <c r="IP32" s="274"/>
      <c r="IQ32" s="274"/>
      <c r="IR32" s="274"/>
      <c r="IS32" s="274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268"/>
      <c r="KC32" s="268"/>
      <c r="KD32" s="268"/>
      <c r="KE32" s="268"/>
      <c r="KF32" s="268"/>
      <c r="KG32" s="268">
        <f>0+2</f>
        <v>2</v>
      </c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</row>
    <row r="33" spans="1:318" s="12" customFormat="1" ht="18" customHeight="1" x14ac:dyDescent="0.25">
      <c r="A33" s="66"/>
      <c r="B33" s="13" t="s">
        <v>471</v>
      </c>
      <c r="C33" s="1">
        <v>8743</v>
      </c>
      <c r="D33" s="4" t="s">
        <v>472</v>
      </c>
      <c r="E33" s="1">
        <v>10680</v>
      </c>
      <c r="F33" s="1"/>
      <c r="G33" s="4" t="s">
        <v>241</v>
      </c>
      <c r="H33" s="1">
        <f>SUM(J33:LF33)</f>
        <v>2</v>
      </c>
      <c r="I33" s="14">
        <f>H33</f>
        <v>2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274"/>
      <c r="IK33" s="274"/>
      <c r="IL33" s="274"/>
      <c r="IM33" s="274"/>
      <c r="IN33" s="274"/>
      <c r="IO33" s="274"/>
      <c r="IP33" s="274"/>
      <c r="IQ33" s="274"/>
      <c r="IR33" s="274"/>
      <c r="IS33" s="274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268">
        <v>1</v>
      </c>
      <c r="KC33" s="268"/>
      <c r="KD33" s="268"/>
      <c r="KE33" s="268"/>
      <c r="KF33" s="268">
        <v>1</v>
      </c>
      <c r="KG33" s="274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</row>
    <row r="34" spans="1:318" s="12" customFormat="1" ht="18" customHeight="1" x14ac:dyDescent="0.25">
      <c r="A34" s="66"/>
      <c r="B34" s="13" t="s">
        <v>337</v>
      </c>
      <c r="C34" s="1">
        <v>7476</v>
      </c>
      <c r="D34" t="s">
        <v>338</v>
      </c>
      <c r="E34" s="1">
        <v>9719</v>
      </c>
      <c r="F34" s="1">
        <v>2006</v>
      </c>
      <c r="G34" t="s">
        <v>251</v>
      </c>
      <c r="H34" s="1">
        <f>SUM(J34:LF34)</f>
        <v>2</v>
      </c>
      <c r="I34" s="14">
        <f>H34</f>
        <v>2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>
        <v>2</v>
      </c>
      <c r="JT34" s="1">
        <v>0</v>
      </c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</row>
    <row r="35" spans="1:318" s="12" customFormat="1" ht="18" customHeight="1" x14ac:dyDescent="0.25">
      <c r="A35" s="14">
        <v>18</v>
      </c>
      <c r="B35" s="13" t="s">
        <v>339</v>
      </c>
      <c r="C35" s="1">
        <v>7442</v>
      </c>
      <c r="D35" t="s">
        <v>340</v>
      </c>
      <c r="E35" s="1">
        <v>10793</v>
      </c>
      <c r="F35" s="1"/>
      <c r="G35" t="s">
        <v>221</v>
      </c>
      <c r="H35" s="1">
        <f>SUM(J35:LF35)</f>
        <v>1</v>
      </c>
      <c r="I35" s="14">
        <f>H35</f>
        <v>1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>
        <v>1</v>
      </c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</row>
    <row r="36" spans="1:318" s="12" customFormat="1" ht="18" customHeight="1" x14ac:dyDescent="0.25">
      <c r="A36" s="66"/>
      <c r="B36" s="13" t="s">
        <v>341</v>
      </c>
      <c r="C36" s="1">
        <v>8607</v>
      </c>
      <c r="D36" t="s">
        <v>342</v>
      </c>
      <c r="E36" s="1">
        <v>10187</v>
      </c>
      <c r="F36" s="1">
        <v>2011</v>
      </c>
      <c r="G36" t="s">
        <v>206</v>
      </c>
      <c r="H36" s="1">
        <f>SUM(J36:LF36)</f>
        <v>1</v>
      </c>
      <c r="I36" s="14">
        <f>H36</f>
        <v>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>
        <v>1</v>
      </c>
      <c r="CL36" s="1"/>
      <c r="CM36" s="1"/>
      <c r="CN36" s="1"/>
      <c r="CO36" s="1"/>
      <c r="CP36" s="1"/>
      <c r="CQ36" s="1">
        <v>0</v>
      </c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268"/>
      <c r="JT36" s="268">
        <v>0</v>
      </c>
      <c r="JU36" s="268"/>
      <c r="JV36" s="268">
        <v>0</v>
      </c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</row>
    <row r="37" spans="1:318" s="12" customFormat="1" ht="18" customHeight="1" x14ac:dyDescent="0.25">
      <c r="A37" s="66"/>
      <c r="B37" s="275" t="s">
        <v>343</v>
      </c>
      <c r="C37" s="270">
        <v>8268</v>
      </c>
      <c r="D37" s="264" t="s">
        <v>344</v>
      </c>
      <c r="E37" s="270">
        <v>9494</v>
      </c>
      <c r="F37" s="270"/>
      <c r="G37" s="264" t="s">
        <v>345</v>
      </c>
      <c r="H37" s="1">
        <f>SUM(J37:LF37)</f>
        <v>1</v>
      </c>
      <c r="I37" s="14">
        <f t="shared" ref="I37:I47" si="0">H37</f>
        <v>1</v>
      </c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>
        <v>0</v>
      </c>
      <c r="HF37" s="1">
        <v>1</v>
      </c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</row>
    <row r="38" spans="1:318" s="12" customFormat="1" ht="18" customHeight="1" x14ac:dyDescent="0.25">
      <c r="A38" s="66"/>
      <c r="B38" s="275"/>
      <c r="C38" s="270"/>
      <c r="D38" s="264" t="s">
        <v>346</v>
      </c>
      <c r="E38" s="270">
        <v>7682</v>
      </c>
      <c r="F38" s="270"/>
      <c r="G38" s="264"/>
      <c r="H38" s="1">
        <f>SUM(J38:LF38)</f>
        <v>0</v>
      </c>
      <c r="I38" s="6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>
        <v>0</v>
      </c>
      <c r="HF38" s="1">
        <v>0</v>
      </c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</row>
    <row r="39" spans="1:318" s="12" customFormat="1" ht="18" customHeight="1" x14ac:dyDescent="0.25">
      <c r="A39" s="66"/>
      <c r="B39" s="13" t="s">
        <v>347</v>
      </c>
      <c r="C39" s="1">
        <v>8182</v>
      </c>
      <c r="D39" t="s">
        <v>348</v>
      </c>
      <c r="E39" s="1">
        <v>9149</v>
      </c>
      <c r="F39" s="1">
        <v>2011</v>
      </c>
      <c r="G39" t="s">
        <v>349</v>
      </c>
      <c r="H39" s="1">
        <f>SUM(J39:LF39)</f>
        <v>1</v>
      </c>
      <c r="I39" s="14">
        <f>H39</f>
        <v>1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268"/>
      <c r="JT39" s="268">
        <v>0</v>
      </c>
      <c r="JU39" s="268"/>
      <c r="JV39" s="268">
        <v>1</v>
      </c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</row>
    <row r="40" spans="1:318" s="12" customFormat="1" ht="18" customHeight="1" x14ac:dyDescent="0.25">
      <c r="A40" s="14"/>
      <c r="B40" s="13" t="s">
        <v>350</v>
      </c>
      <c r="C40" s="1">
        <v>8422</v>
      </c>
      <c r="D40" t="s">
        <v>351</v>
      </c>
      <c r="E40" s="1">
        <v>11277</v>
      </c>
      <c r="F40" s="1">
        <v>2007</v>
      </c>
      <c r="G40" t="s">
        <v>251</v>
      </c>
      <c r="H40" s="1">
        <f>SUM(J40:LF40)</f>
        <v>1</v>
      </c>
      <c r="I40" s="14">
        <f>H40</f>
        <v>1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>
        <v>1</v>
      </c>
      <c r="JT40" s="1">
        <v>0</v>
      </c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</row>
    <row r="41" spans="1:318" s="12" customFormat="1" ht="18" customHeight="1" x14ac:dyDescent="0.25">
      <c r="A41" s="66"/>
      <c r="B41" s="13" t="s">
        <v>352</v>
      </c>
      <c r="C41" s="1">
        <v>8382</v>
      </c>
      <c r="D41" t="s">
        <v>353</v>
      </c>
      <c r="E41" s="1">
        <v>11290</v>
      </c>
      <c r="F41" s="1">
        <v>2017</v>
      </c>
      <c r="G41" t="s">
        <v>354</v>
      </c>
      <c r="H41" s="1">
        <f>SUM(J41:LF41)</f>
        <v>1</v>
      </c>
      <c r="I41" s="14">
        <f>H41</f>
        <v>1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268"/>
      <c r="JT41" s="268">
        <v>0</v>
      </c>
      <c r="JU41" s="268">
        <v>1</v>
      </c>
      <c r="JV41" s="268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</row>
    <row r="42" spans="1:318" s="12" customFormat="1" ht="18" customHeight="1" x14ac:dyDescent="0.25">
      <c r="A42" s="14">
        <v>24</v>
      </c>
      <c r="B42" s="13" t="s">
        <v>467</v>
      </c>
      <c r="C42" s="1">
        <v>8540</v>
      </c>
      <c r="D42" t="s">
        <v>468</v>
      </c>
      <c r="E42" s="1">
        <v>10063</v>
      </c>
      <c r="F42" s="1"/>
      <c r="G42" t="s">
        <v>284</v>
      </c>
      <c r="H42" s="1">
        <f>SUM(J42:LF42)</f>
        <v>0</v>
      </c>
      <c r="I42" s="14">
        <f>H42</f>
        <v>0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274"/>
      <c r="JT42" s="274"/>
      <c r="JU42" s="274"/>
      <c r="JV42" s="274"/>
      <c r="JW42" s="1"/>
      <c r="JX42" s="1"/>
      <c r="JY42" s="1"/>
      <c r="JZ42" s="1"/>
      <c r="KA42" s="1"/>
      <c r="KB42" s="268"/>
      <c r="KC42" s="268"/>
      <c r="KD42" s="268">
        <v>0</v>
      </c>
      <c r="KE42" s="268"/>
      <c r="KF42" s="268"/>
      <c r="KG42" s="268"/>
      <c r="KH42" s="268">
        <v>0</v>
      </c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</row>
    <row r="43" spans="1:318" s="12" customFormat="1" ht="18" customHeight="1" x14ac:dyDescent="0.25">
      <c r="A43" s="14"/>
      <c r="B43" s="13" t="s">
        <v>355</v>
      </c>
      <c r="C43" s="1">
        <v>5968</v>
      </c>
      <c r="D43" t="s">
        <v>356</v>
      </c>
      <c r="E43" s="1">
        <v>9364</v>
      </c>
      <c r="F43" s="1">
        <v>2010</v>
      </c>
      <c r="G43" t="s">
        <v>206</v>
      </c>
      <c r="H43" s="1">
        <f>SUM(J43:LF43)</f>
        <v>0</v>
      </c>
      <c r="I43" s="14">
        <f>H43</f>
        <v>0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268"/>
      <c r="JT43" s="268"/>
      <c r="JU43" s="268"/>
      <c r="JV43" s="268">
        <v>0</v>
      </c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</row>
    <row r="44" spans="1:318" s="12" customFormat="1" ht="18" customHeight="1" x14ac:dyDescent="0.25">
      <c r="A44" s="66"/>
      <c r="B44" s="13" t="s">
        <v>357</v>
      </c>
      <c r="C44" s="1">
        <v>7872</v>
      </c>
      <c r="D44" t="s">
        <v>358</v>
      </c>
      <c r="E44" s="1">
        <v>10645</v>
      </c>
      <c r="F44" s="1">
        <v>2007</v>
      </c>
      <c r="G44" t="s">
        <v>251</v>
      </c>
      <c r="H44" s="1">
        <f>SUM(J44:LF44)</f>
        <v>0</v>
      </c>
      <c r="I44" s="14">
        <f>SUM(H44:H45)</f>
        <v>0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268"/>
      <c r="JT44" s="268">
        <v>0</v>
      </c>
      <c r="JU44" s="268"/>
      <c r="JV44" s="268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</row>
    <row r="45" spans="1:318" s="12" customFormat="1" ht="18" customHeight="1" x14ac:dyDescent="0.25">
      <c r="A45" s="66"/>
      <c r="B45" s="13"/>
      <c r="C45" s="1"/>
      <c r="D45" t="s">
        <v>359</v>
      </c>
      <c r="E45" s="1">
        <v>10644</v>
      </c>
      <c r="F45" s="1">
        <v>2012</v>
      </c>
      <c r="G45"/>
      <c r="H45" s="1">
        <f>SUM(J45:LF45)</f>
        <v>0</v>
      </c>
      <c r="I45" s="14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268"/>
      <c r="JT45" s="268">
        <v>0</v>
      </c>
      <c r="JU45" s="268"/>
      <c r="JV45" s="268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</row>
    <row r="46" spans="1:318" s="12" customFormat="1" ht="18" customHeight="1" x14ac:dyDescent="0.25">
      <c r="A46" s="66"/>
      <c r="B46" s="13" t="s">
        <v>360</v>
      </c>
      <c r="C46" s="1">
        <v>8956</v>
      </c>
      <c r="D46" s="4" t="s">
        <v>361</v>
      </c>
      <c r="E46" s="1">
        <v>10265</v>
      </c>
      <c r="F46" s="1">
        <v>2014</v>
      </c>
      <c r="G46" s="4" t="s">
        <v>335</v>
      </c>
      <c r="H46" s="1">
        <f>SUM(J46:LF46)</f>
        <v>0</v>
      </c>
      <c r="I46" s="14">
        <f>H46</f>
        <v>0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/>
      <c r="DJ46"/>
      <c r="DK46"/>
      <c r="DL46"/>
      <c r="DM46"/>
      <c r="DN46"/>
      <c r="DO46"/>
      <c r="DP46"/>
      <c r="DQ46"/>
      <c r="DR46"/>
      <c r="DS46"/>
      <c r="DT46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268">
        <v>0</v>
      </c>
      <c r="IK46" s="268"/>
      <c r="IL46" s="268"/>
      <c r="IM46" s="268">
        <v>0</v>
      </c>
      <c r="IN46" s="268"/>
      <c r="IO46" s="268"/>
      <c r="IP46" s="268"/>
      <c r="IQ46" s="268"/>
      <c r="IR46" s="268"/>
      <c r="IS46" s="268">
        <v>0</v>
      </c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</row>
    <row r="47" spans="1:318" ht="18" customHeight="1" x14ac:dyDescent="0.25">
      <c r="B47" s="13" t="s">
        <v>362</v>
      </c>
      <c r="C47" s="1">
        <v>8873</v>
      </c>
      <c r="D47" s="105" t="s">
        <v>363</v>
      </c>
      <c r="E47" s="1">
        <v>5718</v>
      </c>
      <c r="G47" s="4" t="s">
        <v>137</v>
      </c>
      <c r="H47" s="1">
        <f>SUM(J47:LF47)</f>
        <v>0</v>
      </c>
      <c r="I47" s="14">
        <f t="shared" si="0"/>
        <v>0</v>
      </c>
      <c r="J47" s="1"/>
      <c r="K47" s="1"/>
      <c r="L47" s="1"/>
      <c r="M47" s="1"/>
      <c r="N47" s="1">
        <v>0</v>
      </c>
      <c r="O47" s="1"/>
      <c r="P47" s="1"/>
      <c r="Q47" s="1"/>
      <c r="R47" s="1"/>
      <c r="S47" s="1"/>
      <c r="T47" s="1"/>
      <c r="U47" s="1">
        <v>0</v>
      </c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</row>
    <row r="48" spans="1:318" ht="18" customHeight="1" x14ac:dyDescent="0.25">
      <c r="A48" s="66"/>
      <c r="D48" s="105" t="s">
        <v>364</v>
      </c>
      <c r="E48" s="1">
        <v>9793</v>
      </c>
      <c r="G48" s="4"/>
      <c r="H48" s="1">
        <f>SUM(J48:LF48)</f>
        <v>0</v>
      </c>
      <c r="I48" s="66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>
        <v>0</v>
      </c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</row>
    <row r="49" spans="1:318" ht="18" customHeight="1" x14ac:dyDescent="0.25">
      <c r="A49" s="66"/>
      <c r="B49" s="13" t="s">
        <v>365</v>
      </c>
      <c r="C49" s="1">
        <v>8891</v>
      </c>
      <c r="D49" s="4" t="s">
        <v>366</v>
      </c>
      <c r="E49" s="1">
        <v>10998</v>
      </c>
      <c r="G49" s="4" t="s">
        <v>284</v>
      </c>
      <c r="H49" s="1">
        <f>SUM(J49:LF49)</f>
        <v>0</v>
      </c>
      <c r="I49" s="14">
        <f>Tabuľka2[[#This Row],[Stĺpec13]]+Tabuľka2[[#This Row],[Stĺpec17]]+Tabuľka2[[#This Row],[Stĺpec26]]+Tabuľka2[[#This Row],[Stĺpec27]]+Tabuľka2[[#This Row],[Stĺpec31]]+Tabuľka2[[#This Row],[Stĺpec32]]+Tabuľka2[[#This Row],[Stĺpec36]]+Tabuľka2[[#This Row],[Stĺpec48]]+Tabuľka2[[#This Row],[Stĺpec78]]+Tabuľka2[[#This Row],[Stĺpec79]]+Tabuľka2[[#This Row],[Stĺpec93]]+Tabuľka2[[#This Row],[Stĺpec94]]+Tabuľka2[[#This Row],[Stĺpec98]]+Tabuľka2[[#This Row],[Stĺpec99]]+Tabuľka2[[#This Row],[Stĺpec105]]</f>
        <v>0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>
        <v>0</v>
      </c>
      <c r="FH49" s="1">
        <v>0</v>
      </c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</row>
    <row r="50" spans="1:318" s="12" customFormat="1" ht="18" customHeight="1" x14ac:dyDescent="0.25">
      <c r="A50" s="66"/>
      <c r="B50" s="13" t="s">
        <v>367</v>
      </c>
      <c r="C50" s="1">
        <v>8842</v>
      </c>
      <c r="D50" s="4" t="s">
        <v>368</v>
      </c>
      <c r="E50" s="1">
        <v>6126</v>
      </c>
      <c r="F50" s="1">
        <v>2001</v>
      </c>
      <c r="G50" s="4" t="s">
        <v>335</v>
      </c>
      <c r="H50" s="1">
        <f>SUM(J50:LF50)</f>
        <v>0</v>
      </c>
      <c r="I50" s="14">
        <f>H50</f>
        <v>0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/>
      <c r="DJ50"/>
      <c r="DK50"/>
      <c r="DL50"/>
      <c r="DM50"/>
      <c r="DN50"/>
      <c r="DO50"/>
      <c r="DP50"/>
      <c r="DQ50"/>
      <c r="DR50"/>
      <c r="DS50"/>
      <c r="DT50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268">
        <v>0</v>
      </c>
      <c r="IK50" s="268"/>
      <c r="IL50" s="268"/>
      <c r="IM50" s="268">
        <v>0</v>
      </c>
      <c r="IN50" s="268"/>
      <c r="IO50" s="268"/>
      <c r="IP50" s="268"/>
      <c r="IQ50" s="268"/>
      <c r="IR50" s="268"/>
      <c r="IS50" s="268">
        <v>0</v>
      </c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</row>
    <row r="51" spans="1:318" ht="18" customHeight="1" x14ac:dyDescent="0.25">
      <c r="B51" s="13" t="s">
        <v>369</v>
      </c>
      <c r="C51" s="1">
        <v>3874</v>
      </c>
      <c r="D51" t="s">
        <v>370</v>
      </c>
      <c r="E51" s="1">
        <v>7864</v>
      </c>
      <c r="F51" s="1">
        <v>2008</v>
      </c>
      <c r="G51" t="s">
        <v>371</v>
      </c>
      <c r="H51" s="1">
        <f>SUM(J51:LF51)</f>
        <v>0</v>
      </c>
      <c r="I51" s="14">
        <f>SUM(H51:H51)</f>
        <v>0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>
        <v>0</v>
      </c>
      <c r="HH51" s="1">
        <v>0</v>
      </c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268"/>
      <c r="IK51" s="268"/>
      <c r="IL51" s="268"/>
      <c r="IM51" s="268">
        <v>0</v>
      </c>
      <c r="IN51" s="268">
        <v>0</v>
      </c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</row>
    <row r="52" spans="1:318" s="12" customFormat="1" ht="18" customHeight="1" x14ac:dyDescent="0.25">
      <c r="A52" s="66"/>
      <c r="B52" s="13" t="s">
        <v>372</v>
      </c>
      <c r="C52" s="1">
        <v>6668</v>
      </c>
      <c r="D52" t="s">
        <v>373</v>
      </c>
      <c r="E52" s="1">
        <v>6647</v>
      </c>
      <c r="F52" s="1">
        <v>2004</v>
      </c>
      <c r="G52" t="s">
        <v>251</v>
      </c>
      <c r="H52" s="1">
        <f>SUM(J52:LF52)</f>
        <v>0</v>
      </c>
      <c r="I52" s="14">
        <f>H52</f>
        <v>0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268"/>
      <c r="JT52" s="268">
        <v>0</v>
      </c>
      <c r="JU52" s="268"/>
      <c r="JV52" s="268">
        <v>0</v>
      </c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</row>
    <row r="53" spans="1:318" ht="18" customHeight="1" x14ac:dyDescent="0.25">
      <c r="A53" s="66"/>
      <c r="B53" s="13" t="s">
        <v>374</v>
      </c>
      <c r="C53" s="1">
        <v>8610</v>
      </c>
      <c r="D53" s="4" t="s">
        <v>375</v>
      </c>
      <c r="E53" s="1">
        <v>10631</v>
      </c>
      <c r="F53" s="1">
        <v>2013</v>
      </c>
      <c r="G53" s="4" t="s">
        <v>206</v>
      </c>
      <c r="H53" s="1">
        <f>SUM(J53:LF53)</f>
        <v>0</v>
      </c>
      <c r="I53" s="14">
        <f>Tabuľka2[[#This Row],[Stĺpec13]]+Tabuľka2[[#This Row],[Stĺpec17]]+Tabuľka2[[#This Row],[Stĺpec26]]+Tabuľka2[[#This Row],[Stĺpec27]]+Tabuľka2[[#This Row],[Stĺpec31]]+Tabuľka2[[#This Row],[Stĺpec32]]+Tabuľka2[[#This Row],[Stĺpec36]]+Tabuľka2[[#This Row],[Stĺpec48]]+Tabuľka2[[#This Row],[Stĺpec78]]+Tabuľka2[[#This Row],[Stĺpec79]]+Tabuľka2[[#This Row],[Stĺpec93]]+Tabuľka2[[#This Row],[Stĺpec94]]+Tabuľka2[[#This Row],[Stĺpec98]]+Tabuľka2[[#This Row],[Stĺpec99]]+Tabuľka2[[#This Row],[Stĺpec105]]</f>
        <v>0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K53">
        <v>0</v>
      </c>
      <c r="CQ53">
        <v>0</v>
      </c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268"/>
      <c r="JT53" s="268">
        <v>0</v>
      </c>
      <c r="JU53" s="268"/>
      <c r="JV53" s="268">
        <v>0</v>
      </c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</row>
    <row r="54" spans="1:318" s="12" customFormat="1" ht="18" customHeight="1" x14ac:dyDescent="0.25">
      <c r="A54" s="66"/>
      <c r="B54" s="13" t="s">
        <v>376</v>
      </c>
      <c r="C54" s="1">
        <v>8506</v>
      </c>
      <c r="D54" s="4" t="s">
        <v>377</v>
      </c>
      <c r="E54" s="1">
        <v>9361</v>
      </c>
      <c r="F54" s="1"/>
      <c r="G54" s="4" t="s">
        <v>200</v>
      </c>
      <c r="H54" s="1">
        <f>SUM(J54:LF54)</f>
        <v>0</v>
      </c>
      <c r="I54" s="14">
        <f>H54</f>
        <v>0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/>
      <c r="DJ54"/>
      <c r="DK54"/>
      <c r="DL54">
        <v>0</v>
      </c>
      <c r="DM54">
        <v>0</v>
      </c>
      <c r="DN54"/>
      <c r="DO54"/>
      <c r="DP54"/>
      <c r="DQ54"/>
      <c r="DR54"/>
      <c r="DS54"/>
      <c r="DT54">
        <v>0</v>
      </c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/>
      <c r="ER54"/>
      <c r="ES54"/>
      <c r="ET54">
        <v>0</v>
      </c>
      <c r="EU54">
        <v>0</v>
      </c>
      <c r="EV54"/>
      <c r="EW54"/>
      <c r="EX54"/>
      <c r="EY54"/>
      <c r="EZ54"/>
      <c r="FA54"/>
      <c r="FB54">
        <v>0</v>
      </c>
      <c r="FC54"/>
      <c r="FD54"/>
      <c r="FE54"/>
      <c r="FF54"/>
      <c r="FG54" s="1">
        <v>0</v>
      </c>
      <c r="FH54" s="1">
        <v>0</v>
      </c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</row>
    <row r="55" spans="1:318" s="12" customFormat="1" ht="18" customHeight="1" x14ac:dyDescent="0.25">
      <c r="A55" s="66"/>
      <c r="B55" s="13" t="s">
        <v>378</v>
      </c>
      <c r="C55" s="1">
        <v>8431</v>
      </c>
      <c r="D55" t="s">
        <v>379</v>
      </c>
      <c r="E55" s="1">
        <v>10740</v>
      </c>
      <c r="F55" s="1"/>
      <c r="G55" t="s">
        <v>380</v>
      </c>
      <c r="H55" s="1">
        <f>SUM(J55:LF55)</f>
        <v>0</v>
      </c>
      <c r="I55" s="14">
        <f>Tabuľka2[[#This Row],[Stĺpec8]]</f>
        <v>0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/>
      <c r="DJ55"/>
      <c r="DK55"/>
      <c r="DL55">
        <v>0</v>
      </c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1" t="s">
        <v>1</v>
      </c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</row>
    <row r="56" spans="1:318" s="12" customFormat="1" ht="18" customHeight="1" x14ac:dyDescent="0.25">
      <c r="A56" s="66"/>
      <c r="B56" s="13" t="s">
        <v>473</v>
      </c>
      <c r="C56" s="1">
        <v>8750</v>
      </c>
      <c r="D56" t="s">
        <v>472</v>
      </c>
      <c r="E56" s="1">
        <v>10680</v>
      </c>
      <c r="F56" s="1"/>
      <c r="G56" t="s">
        <v>241</v>
      </c>
      <c r="H56" s="1">
        <f>SUM(J56:LF56)</f>
        <v>0</v>
      </c>
      <c r="I56" s="14">
        <f>Tabuľka2[[#This Row],[Stĺpec8]]</f>
        <v>0</v>
      </c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>
        <v>0</v>
      </c>
      <c r="LB56" s="1"/>
      <c r="LC56" s="1"/>
      <c r="LD56" s="1">
        <v>0</v>
      </c>
      <c r="LE56" s="1"/>
      <c r="LF56" s="1"/>
    </row>
    <row r="57" spans="1:318" s="12" customFormat="1" ht="18" customHeight="1" x14ac:dyDescent="0.25">
      <c r="A57" s="66"/>
      <c r="B57" s="13" t="s">
        <v>381</v>
      </c>
      <c r="C57" s="1">
        <v>8511</v>
      </c>
      <c r="D57" t="s">
        <v>382</v>
      </c>
      <c r="E57" s="1">
        <v>11278</v>
      </c>
      <c r="F57" s="1">
        <v>2016</v>
      </c>
      <c r="G57" t="s">
        <v>251</v>
      </c>
      <c r="H57" s="1">
        <f>SUM(J57:LF57)</f>
        <v>0</v>
      </c>
      <c r="I57" s="14">
        <f>H57</f>
        <v>0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268"/>
      <c r="JT57" s="268">
        <v>0</v>
      </c>
      <c r="JU57" s="268"/>
      <c r="JV57" s="268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</row>
    <row r="58" spans="1:318" s="12" customFormat="1" ht="18" customHeight="1" x14ac:dyDescent="0.25">
      <c r="A58" s="66"/>
      <c r="B58" s="13" t="s">
        <v>383</v>
      </c>
      <c r="C58" s="1">
        <v>8841</v>
      </c>
      <c r="D58" s="4" t="s">
        <v>384</v>
      </c>
      <c r="E58" s="1"/>
      <c r="F58" s="1">
        <v>2006</v>
      </c>
      <c r="G58" s="4" t="s">
        <v>335</v>
      </c>
      <c r="H58" s="1">
        <f>SUM(J58:LF58)</f>
        <v>0</v>
      </c>
      <c r="I58" s="14">
        <f t="shared" ref="I58" si="1">H58</f>
        <v>0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/>
      <c r="DJ58"/>
      <c r="DK58"/>
      <c r="DL58"/>
      <c r="DM58"/>
      <c r="DN58"/>
      <c r="DO58"/>
      <c r="DP58"/>
      <c r="DQ58"/>
      <c r="DR58"/>
      <c r="DS58"/>
      <c r="DT58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268">
        <v>0</v>
      </c>
      <c r="IK58" s="268"/>
      <c r="IL58" s="268"/>
      <c r="IM58" s="268">
        <v>0</v>
      </c>
      <c r="IN58" s="268"/>
      <c r="IO58" s="268"/>
      <c r="IP58" s="268"/>
      <c r="IQ58" s="268"/>
      <c r="IR58" s="268"/>
      <c r="IS58" s="268">
        <v>0</v>
      </c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</row>
    <row r="59" spans="1:318" s="12" customFormat="1" ht="18" customHeight="1" x14ac:dyDescent="0.25">
      <c r="A59" s="66"/>
      <c r="B59" s="13"/>
      <c r="C59" s="1"/>
      <c r="D59" t="s">
        <v>385</v>
      </c>
      <c r="E59" s="1">
        <v>9994</v>
      </c>
      <c r="F59" s="1"/>
      <c r="G59"/>
      <c r="H59" s="1">
        <f>SUM(J59:LF59)</f>
        <v>0</v>
      </c>
      <c r="I59" s="66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/>
      <c r="DJ59"/>
      <c r="DK59"/>
      <c r="DL59">
        <v>0</v>
      </c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</row>
    <row r="60" spans="1:318" s="243" customFormat="1" ht="18" customHeight="1" x14ac:dyDescent="0.25">
      <c r="A60" s="238">
        <v>38</v>
      </c>
      <c r="B60" s="244" t="s">
        <v>265</v>
      </c>
      <c r="C60" s="240"/>
      <c r="D60" s="242"/>
      <c r="E60" s="240"/>
      <c r="F60" s="240"/>
      <c r="G60" s="242"/>
      <c r="H60" s="240"/>
      <c r="I60" s="245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  <c r="AA60" s="240"/>
      <c r="AB60" s="240"/>
      <c r="AC60" s="240"/>
      <c r="AD60" s="240"/>
      <c r="AE60" s="240"/>
      <c r="AF60" s="240"/>
      <c r="AG60" s="240"/>
      <c r="AH60" s="240"/>
      <c r="AI60" s="240"/>
      <c r="AJ60" s="240"/>
      <c r="AK60" s="240"/>
      <c r="AL60" s="240"/>
      <c r="AM60" s="240"/>
      <c r="AN60" s="240"/>
      <c r="AO60" s="240"/>
      <c r="AP60" s="240"/>
      <c r="AQ60" s="240"/>
      <c r="AR60" s="240"/>
      <c r="AS60" s="240"/>
      <c r="AT60" s="240"/>
      <c r="AU60" s="240"/>
      <c r="AV60" s="240"/>
      <c r="AW60" s="240"/>
      <c r="AX60" s="240"/>
      <c r="AY60" s="240"/>
      <c r="AZ60" s="240"/>
      <c r="BA60" s="240"/>
      <c r="BB60" s="240"/>
      <c r="BC60" s="240"/>
      <c r="BD60" s="240"/>
      <c r="BE60" s="240"/>
      <c r="BF60" s="240"/>
      <c r="BG60" s="240"/>
      <c r="BH60" s="240"/>
      <c r="BI60" s="240"/>
      <c r="BJ60" s="240"/>
      <c r="BK60" s="240"/>
      <c r="BL60" s="240"/>
      <c r="BM60" s="240"/>
      <c r="BN60" s="240"/>
      <c r="BO60" s="240"/>
      <c r="BP60" s="240"/>
      <c r="BQ60" s="240"/>
      <c r="BR60" s="240"/>
      <c r="BS60" s="240"/>
      <c r="BT60" s="240"/>
      <c r="BU60" s="240"/>
      <c r="BV60" s="240"/>
      <c r="BW60" s="240"/>
      <c r="BX60" s="240"/>
      <c r="BY60" s="240"/>
      <c r="BZ60" s="240"/>
      <c r="CA60" s="240"/>
      <c r="CB60" s="240"/>
      <c r="CC60" s="240"/>
      <c r="CD60" s="240"/>
      <c r="CE60" s="240"/>
      <c r="CF60" s="240"/>
      <c r="CG60" s="240"/>
      <c r="CH60" s="240"/>
      <c r="CI60" s="240"/>
      <c r="CJ60" s="240"/>
      <c r="CK60" s="240"/>
      <c r="CL60" s="240"/>
      <c r="CM60" s="240"/>
      <c r="CN60" s="240"/>
      <c r="CO60" s="240"/>
      <c r="CP60" s="240"/>
      <c r="CQ60" s="240"/>
      <c r="CR60" s="240"/>
      <c r="CS60" s="240"/>
      <c r="CT60" s="240"/>
      <c r="CU60" s="240"/>
      <c r="CV60" s="240"/>
      <c r="CW60" s="240"/>
      <c r="CX60" s="240"/>
      <c r="CY60" s="240"/>
      <c r="CZ60" s="240"/>
      <c r="DA60" s="240"/>
      <c r="DB60" s="240"/>
      <c r="DC60" s="240"/>
      <c r="DD60" s="240"/>
      <c r="DE60" s="240"/>
      <c r="DF60" s="240"/>
      <c r="DG60" s="240"/>
      <c r="DH60" s="240"/>
      <c r="DI60" s="240"/>
      <c r="DJ60" s="240"/>
      <c r="DK60" s="240"/>
      <c r="DL60" s="240"/>
      <c r="DM60" s="240"/>
      <c r="DN60" s="240"/>
      <c r="DO60" s="240"/>
      <c r="DP60" s="240"/>
      <c r="DQ60" s="240"/>
      <c r="DR60" s="240"/>
      <c r="DS60" s="240"/>
      <c r="DT60" s="240"/>
      <c r="DU60" s="240"/>
      <c r="DV60" s="240"/>
      <c r="DW60" s="240"/>
      <c r="DX60" s="240"/>
      <c r="DY60" s="240"/>
      <c r="DZ60" s="240"/>
      <c r="EA60" s="240"/>
      <c r="EB60" s="240"/>
      <c r="EC60" s="240"/>
      <c r="ED60" s="240"/>
      <c r="EE60" s="240"/>
      <c r="EF60" s="240"/>
      <c r="EG60" s="240"/>
      <c r="EH60" s="240"/>
      <c r="EI60" s="240"/>
      <c r="EJ60" s="240"/>
      <c r="EK60" s="240"/>
      <c r="EL60" s="240"/>
      <c r="EM60" s="240"/>
      <c r="EN60" s="240"/>
      <c r="EO60" s="240"/>
      <c r="EP60" s="240"/>
      <c r="EQ60" s="240"/>
      <c r="ER60" s="240"/>
      <c r="ES60" s="240"/>
      <c r="ET60" s="240"/>
      <c r="EU60" s="240"/>
      <c r="EV60" s="240"/>
      <c r="EW60" s="240"/>
      <c r="EX60" s="240"/>
      <c r="EY60" s="240"/>
      <c r="EZ60" s="240"/>
      <c r="FA60" s="240"/>
      <c r="FB60" s="240"/>
      <c r="FC60" s="240"/>
      <c r="FD60" s="240"/>
      <c r="FE60" s="240"/>
      <c r="FF60" s="240"/>
      <c r="FG60" s="240"/>
      <c r="FH60" s="240"/>
      <c r="FI60" s="240"/>
      <c r="FJ60" s="240"/>
      <c r="FK60" s="240"/>
      <c r="FL60" s="240"/>
      <c r="FM60" s="240"/>
      <c r="FN60" s="240"/>
      <c r="FO60" s="240"/>
      <c r="FP60" s="240"/>
      <c r="FQ60" s="240"/>
      <c r="FR60" s="240"/>
      <c r="FS60" s="240"/>
      <c r="FT60" s="240"/>
      <c r="FU60" s="240"/>
      <c r="FV60" s="240"/>
      <c r="FW60" s="240"/>
      <c r="FX60" s="240"/>
      <c r="FY60" s="240"/>
      <c r="FZ60" s="240"/>
      <c r="GA60" s="240"/>
      <c r="GB60" s="240"/>
      <c r="GC60" s="240"/>
      <c r="GD60" s="240"/>
      <c r="GE60" s="240"/>
      <c r="GF60" s="240"/>
      <c r="GG60" s="240"/>
      <c r="GH60" s="240"/>
      <c r="GI60" s="240"/>
      <c r="GJ60" s="240"/>
      <c r="GK60" s="240"/>
      <c r="GL60" s="240"/>
      <c r="GM60" s="240"/>
      <c r="GN60" s="240"/>
      <c r="GO60" s="240"/>
      <c r="GP60" s="240"/>
      <c r="GQ60" s="240"/>
      <c r="GR60" s="240"/>
      <c r="GS60" s="240"/>
      <c r="GT60" s="240"/>
      <c r="GU60" s="240"/>
      <c r="GV60" s="240"/>
      <c r="GW60" s="240"/>
      <c r="GX60" s="240"/>
      <c r="GY60" s="240"/>
      <c r="GZ60" s="240"/>
      <c r="HA60" s="240"/>
      <c r="HB60" s="240"/>
      <c r="HC60" s="240"/>
      <c r="HD60" s="240"/>
      <c r="HE60" s="240"/>
      <c r="HF60" s="240"/>
      <c r="HG60" s="240"/>
      <c r="HH60" s="240"/>
      <c r="HI60" s="240"/>
      <c r="HJ60" s="240"/>
      <c r="HK60" s="240"/>
      <c r="HL60" s="240"/>
      <c r="HM60" s="240"/>
      <c r="HN60" s="240"/>
      <c r="HO60" s="240"/>
      <c r="HP60" s="240"/>
      <c r="HQ60" s="240"/>
      <c r="HR60" s="240"/>
      <c r="HS60" s="240"/>
      <c r="HT60" s="240"/>
      <c r="HU60" s="240"/>
      <c r="HV60" s="240"/>
      <c r="HW60" s="240"/>
      <c r="HX60" s="240"/>
      <c r="HY60" s="240"/>
      <c r="HZ60" s="240"/>
      <c r="IA60" s="240"/>
      <c r="IB60" s="240"/>
      <c r="IC60" s="240"/>
      <c r="ID60" s="240"/>
      <c r="IE60" s="240"/>
      <c r="IF60" s="240"/>
      <c r="IG60" s="240"/>
      <c r="IH60" s="240"/>
      <c r="II60" s="240"/>
      <c r="IJ60" s="240"/>
      <c r="IK60" s="240"/>
      <c r="IL60" s="240"/>
      <c r="IM60" s="240"/>
      <c r="IN60" s="240"/>
      <c r="IO60" s="240"/>
      <c r="IP60" s="240"/>
      <c r="IQ60" s="240"/>
      <c r="IR60" s="240"/>
      <c r="IS60" s="240"/>
      <c r="IT60" s="240"/>
      <c r="IU60" s="240"/>
      <c r="IV60" s="240"/>
      <c r="IW60" s="240"/>
      <c r="IX60" s="240"/>
      <c r="IY60" s="240"/>
      <c r="IZ60" s="240"/>
      <c r="JA60" s="240"/>
      <c r="JB60" s="240"/>
      <c r="JC60" s="240"/>
      <c r="JD60" s="240"/>
      <c r="JE60" s="240"/>
      <c r="JF60" s="240"/>
      <c r="JG60" s="240"/>
      <c r="JH60" s="240"/>
      <c r="JI60" s="240"/>
      <c r="JJ60" s="240"/>
      <c r="JK60" s="240"/>
      <c r="JL60" s="240"/>
      <c r="JM60" s="240"/>
      <c r="JN60" s="240"/>
      <c r="JO60" s="240"/>
      <c r="JP60" s="240"/>
      <c r="JQ60" s="240"/>
      <c r="JR60" s="240"/>
      <c r="JS60" s="240"/>
      <c r="JT60" s="240"/>
      <c r="JU60" s="240"/>
      <c r="JV60" s="240"/>
      <c r="JW60" s="240"/>
      <c r="JX60" s="240"/>
      <c r="JY60" s="240"/>
      <c r="JZ60" s="240"/>
      <c r="KA60" s="240"/>
      <c r="KB60" s="240"/>
      <c r="KC60" s="240"/>
      <c r="KD60" s="240"/>
      <c r="KE60" s="240"/>
      <c r="KF60" s="240"/>
      <c r="KG60" s="240"/>
      <c r="KH60" s="240"/>
      <c r="KI60" s="240"/>
      <c r="KJ60" s="240"/>
      <c r="KK60" s="240"/>
      <c r="KL60" s="240"/>
      <c r="KM60" s="240"/>
      <c r="KN60" s="240"/>
      <c r="KO60" s="240"/>
      <c r="KP60" s="240"/>
      <c r="KQ60" s="240"/>
      <c r="KR60" s="240"/>
      <c r="KS60" s="240"/>
      <c r="KT60" s="240"/>
      <c r="KU60" s="240"/>
      <c r="KV60" s="240"/>
      <c r="KW60" s="240"/>
      <c r="KX60" s="240"/>
      <c r="KY60" s="240"/>
      <c r="KZ60" s="240"/>
      <c r="LA60" s="240"/>
      <c r="LB60" s="240"/>
      <c r="LC60" s="240"/>
      <c r="LD60" s="240"/>
      <c r="LE60" s="240"/>
      <c r="LF60" s="240"/>
    </row>
  </sheetData>
  <sortState ref="A10:I12">
    <sortCondition descending="1" ref="I9:I11"/>
  </sortState>
  <mergeCells count="11">
    <mergeCell ref="F5:F7"/>
    <mergeCell ref="G5:G7"/>
    <mergeCell ref="H5:H7"/>
    <mergeCell ref="I5:I7"/>
    <mergeCell ref="A1:G1"/>
    <mergeCell ref="A3:G3"/>
    <mergeCell ref="A5:A7"/>
    <mergeCell ref="B5:B7"/>
    <mergeCell ref="C5:C7"/>
    <mergeCell ref="D5:D7"/>
    <mergeCell ref="E5:E7"/>
  </mergeCells>
  <phoneticPr fontId="0" type="noConversion"/>
  <conditionalFormatting sqref="J17:LF17 J11:LF15 J16:ED16 EF16:LF16">
    <cfRule type="top10" dxfId="30" priority="135" rank="15"/>
  </conditionalFormatting>
  <conditionalFormatting sqref="J8:GK8 GM8:LF8">
    <cfRule type="top10" dxfId="29" priority="139" rank="15"/>
  </conditionalFormatting>
  <conditionalFormatting sqref="J10:LF10 J9:JI9 JK9:LF9">
    <cfRule type="top10" dxfId="28" priority="141" rank="15"/>
  </conditionalFormatting>
  <pageMargins left="0.75" right="0.75" top="1" bottom="1" header="0.4921259845" footer="0.4921259845"/>
  <pageSetup paperSize="9" orientation="portrait" r:id="rId1"/>
  <headerFooter alignWithMargins="0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LF48"/>
  <sheetViews>
    <sheetView showGridLines="0" workbookViewId="0">
      <pane xSplit="9" ySplit="7" topLeftCell="J8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3.2" x14ac:dyDescent="0.25"/>
  <cols>
    <col min="1" max="1" width="9.88671875" style="26" customWidth="1"/>
    <col min="2" max="2" width="23.109375" style="15" customWidth="1"/>
    <col min="3" max="3" width="11.6640625" style="6" customWidth="1"/>
    <col min="4" max="4" width="22.88671875" style="7" customWidth="1"/>
    <col min="5" max="5" width="12" style="6" customWidth="1"/>
    <col min="6" max="6" width="9.5546875" style="6" customWidth="1"/>
    <col min="7" max="7" width="25" style="7" customWidth="1"/>
    <col min="8" max="8" width="9.5546875" style="1" customWidth="1"/>
    <col min="9" max="9" width="9.88671875" style="14" customWidth="1"/>
    <col min="10" max="41" width="4.6640625" style="7" customWidth="1"/>
    <col min="42" max="42" width="7.88671875" style="7" customWidth="1"/>
    <col min="43" max="43" width="7.6640625" style="7" customWidth="1"/>
    <col min="44" max="55" width="4.6640625" style="7" customWidth="1"/>
    <col min="56" max="56" width="5.33203125" style="7" customWidth="1"/>
    <col min="57" max="57" width="4.6640625" style="7" customWidth="1"/>
    <col min="58" max="58" width="9.44140625" style="7" customWidth="1"/>
    <col min="59" max="59" width="7.88671875" style="7" customWidth="1"/>
    <col min="60" max="61" width="4.6640625" style="7" customWidth="1"/>
    <col min="62" max="62" width="5.6640625" style="7" customWidth="1"/>
    <col min="63" max="63" width="5.44140625" style="7" customWidth="1"/>
    <col min="64" max="64" width="5.88671875" style="7" customWidth="1"/>
    <col min="65" max="65" width="5.5546875" style="7" customWidth="1"/>
    <col min="66" max="66" width="8.109375" style="7" customWidth="1"/>
    <col min="67" max="67" width="6.33203125" style="7" customWidth="1"/>
    <col min="68" max="73" width="4.6640625" style="7" customWidth="1"/>
    <col min="74" max="74" width="10.33203125" style="7" customWidth="1"/>
    <col min="75" max="75" width="6.109375" style="7" customWidth="1"/>
    <col min="76" max="78" width="4.6640625" style="7" customWidth="1"/>
    <col min="79" max="80" width="5.5546875" style="7" customWidth="1"/>
    <col min="81" max="81" width="9.33203125" style="7" customWidth="1"/>
    <col min="82" max="86" width="4.6640625" style="7" customWidth="1"/>
    <col min="87" max="87" width="10.33203125" style="7" customWidth="1"/>
    <col min="88" max="218" width="4.6640625" style="7" customWidth="1"/>
    <col min="219" max="219" width="12.5546875" style="7" customWidth="1"/>
    <col min="220" max="258" width="4.6640625" style="7" customWidth="1"/>
    <col min="259" max="259" width="5.6640625" style="7" customWidth="1"/>
    <col min="260" max="260" width="6" style="7" customWidth="1"/>
    <col min="261" max="263" width="4.6640625" style="7" customWidth="1"/>
    <col min="264" max="264" width="6.109375" style="7" customWidth="1"/>
    <col min="265" max="265" width="6.44140625" style="7" customWidth="1"/>
    <col min="266" max="266" width="11.5546875" style="7" customWidth="1"/>
    <col min="267" max="277" width="4.6640625" style="7" customWidth="1"/>
    <col min="278" max="278" width="9.88671875" style="7" customWidth="1"/>
    <col min="279" max="318" width="4.6640625" style="7" customWidth="1"/>
  </cols>
  <sheetData>
    <row r="1" spans="1:318" ht="24.9" customHeight="1" x14ac:dyDescent="0.4">
      <c r="A1" s="349" t="s">
        <v>0</v>
      </c>
      <c r="B1" s="350"/>
      <c r="C1" s="350"/>
      <c r="D1" s="350"/>
      <c r="E1" s="350"/>
      <c r="F1" s="350"/>
      <c r="G1" s="350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 t="s">
        <v>1</v>
      </c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  <c r="IW1" s="9"/>
      <c r="IX1" s="9"/>
      <c r="IY1" s="9"/>
      <c r="IZ1" s="9"/>
      <c r="JA1" s="9"/>
      <c r="JB1" s="9"/>
      <c r="JC1" s="9"/>
      <c r="JD1" s="9"/>
      <c r="JE1" s="9"/>
      <c r="JF1" s="9"/>
      <c r="JG1" s="9"/>
      <c r="JH1" s="9"/>
      <c r="JI1" s="9"/>
      <c r="JJ1" s="9"/>
      <c r="JK1" s="9"/>
      <c r="JL1" s="9"/>
      <c r="JM1" s="9"/>
      <c r="JN1" s="9"/>
      <c r="JO1" s="9"/>
      <c r="JP1" s="9"/>
      <c r="JQ1" s="9"/>
      <c r="JR1" s="9"/>
      <c r="JS1" s="9"/>
      <c r="JT1" s="9"/>
      <c r="JU1" s="9"/>
      <c r="JV1" s="9"/>
      <c r="JW1" s="9"/>
      <c r="JX1" s="9"/>
      <c r="JY1" s="9"/>
      <c r="JZ1" s="9"/>
      <c r="KA1" s="9"/>
      <c r="KB1" s="9"/>
      <c r="KC1" s="9"/>
      <c r="KD1" s="9"/>
      <c r="KE1" s="9"/>
      <c r="KF1" s="9"/>
      <c r="KG1" s="9"/>
      <c r="KH1" s="9"/>
      <c r="KI1" s="9"/>
      <c r="KJ1" s="9"/>
      <c r="KK1" s="9"/>
      <c r="KL1" s="9"/>
      <c r="KM1" s="9"/>
      <c r="KN1" s="9"/>
      <c r="KO1" s="9"/>
      <c r="KP1" s="9"/>
      <c r="KQ1" s="9"/>
      <c r="KR1" s="9"/>
      <c r="KS1" s="9"/>
      <c r="KT1" s="9"/>
      <c r="KU1" s="9"/>
      <c r="KV1" s="9"/>
      <c r="KW1" s="9"/>
      <c r="KX1" s="9"/>
      <c r="KY1" s="9"/>
      <c r="KZ1" s="9"/>
      <c r="LA1" s="9"/>
      <c r="LB1" s="9"/>
      <c r="LC1" s="9"/>
      <c r="LD1" s="9"/>
      <c r="LE1" s="9"/>
      <c r="LF1" s="9"/>
    </row>
    <row r="2" spans="1:318" ht="15" customHeight="1" x14ac:dyDescent="0.4">
      <c r="A2" s="5"/>
      <c r="B2" s="26"/>
      <c r="D2" s="6"/>
      <c r="G2" s="6"/>
      <c r="H2" s="1" t="s">
        <v>1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74" t="s">
        <v>1</v>
      </c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</row>
    <row r="3" spans="1:318" ht="24.9" customHeight="1" x14ac:dyDescent="0.4">
      <c r="A3" s="351" t="s">
        <v>386</v>
      </c>
      <c r="B3" s="351"/>
      <c r="C3" s="351"/>
      <c r="D3" s="351"/>
      <c r="E3" s="351"/>
      <c r="F3" s="351"/>
      <c r="G3" s="351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</row>
    <row r="4" spans="1:318" ht="15" customHeight="1" x14ac:dyDescent="0.25"/>
    <row r="5" spans="1:318" ht="14.4" x14ac:dyDescent="0.3">
      <c r="A5" s="352" t="s">
        <v>3</v>
      </c>
      <c r="B5" s="343" t="s">
        <v>4</v>
      </c>
      <c r="C5" s="343" t="s">
        <v>5</v>
      </c>
      <c r="D5" s="343" t="s">
        <v>6</v>
      </c>
      <c r="E5" s="343" t="s">
        <v>5</v>
      </c>
      <c r="F5" s="343" t="s">
        <v>7</v>
      </c>
      <c r="G5" s="343" t="s">
        <v>8</v>
      </c>
      <c r="H5" s="346" t="s">
        <v>9</v>
      </c>
      <c r="I5" s="346" t="s">
        <v>387</v>
      </c>
      <c r="J5" s="22" t="s">
        <v>11</v>
      </c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49"/>
      <c r="X5" s="48" t="s">
        <v>12</v>
      </c>
      <c r="Y5" s="22"/>
      <c r="Z5" s="22"/>
      <c r="AA5" s="22"/>
      <c r="AB5" s="22"/>
      <c r="AC5" s="22"/>
      <c r="AD5" s="131"/>
      <c r="AE5" s="134" t="s">
        <v>12</v>
      </c>
      <c r="AF5" s="135"/>
      <c r="AG5" s="140" t="s">
        <v>13</v>
      </c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141"/>
      <c r="AS5" s="22" t="s">
        <v>14</v>
      </c>
      <c r="AT5" s="22"/>
      <c r="AU5" s="22"/>
      <c r="AV5" s="48" t="s">
        <v>15</v>
      </c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49"/>
      <c r="BJ5" s="22" t="s">
        <v>16</v>
      </c>
      <c r="BK5" s="22"/>
      <c r="BL5" s="48" t="s">
        <v>16</v>
      </c>
      <c r="BM5" s="49"/>
      <c r="BN5" s="22" t="s">
        <v>17</v>
      </c>
      <c r="BO5" s="22"/>
      <c r="BP5" s="48" t="s">
        <v>18</v>
      </c>
      <c r="BQ5" s="22"/>
      <c r="BR5" s="22"/>
      <c r="BS5" s="22"/>
      <c r="BT5" s="22"/>
      <c r="BU5" s="49"/>
      <c r="BV5" s="22" t="s">
        <v>19</v>
      </c>
      <c r="BW5" s="48" t="s">
        <v>20</v>
      </c>
      <c r="BX5" s="49"/>
      <c r="BY5" s="22" t="s">
        <v>21</v>
      </c>
      <c r="BZ5" s="22"/>
      <c r="CA5" s="48" t="s">
        <v>22</v>
      </c>
      <c r="CB5" s="49"/>
      <c r="CC5" s="22" t="s">
        <v>22</v>
      </c>
      <c r="CD5" s="48" t="s">
        <v>23</v>
      </c>
      <c r="CE5" s="22"/>
      <c r="CF5" s="22"/>
      <c r="CG5" s="22"/>
      <c r="CH5" s="49"/>
      <c r="CI5" s="183" t="s">
        <v>24</v>
      </c>
      <c r="CJ5" s="22" t="s">
        <v>25</v>
      </c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48" t="s">
        <v>25</v>
      </c>
      <c r="DA5" s="49"/>
      <c r="DB5" s="22" t="s">
        <v>26</v>
      </c>
      <c r="DC5" s="22"/>
      <c r="DD5" s="22"/>
      <c r="DE5" s="22"/>
      <c r="DF5" s="22"/>
      <c r="DG5" s="22"/>
      <c r="DH5" s="22"/>
      <c r="DI5" s="48" t="s">
        <v>27</v>
      </c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49"/>
      <c r="DY5" s="22" t="s">
        <v>28</v>
      </c>
      <c r="DZ5" s="22"/>
      <c r="EA5" s="22" t="s">
        <v>29</v>
      </c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48" t="s">
        <v>30</v>
      </c>
      <c r="EO5" s="22"/>
      <c r="EP5" s="49"/>
      <c r="EQ5" s="22" t="s">
        <v>31</v>
      </c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49"/>
      <c r="FG5" s="22" t="s">
        <v>32</v>
      </c>
      <c r="FH5" s="22"/>
      <c r="FI5" s="22"/>
      <c r="FJ5" s="22"/>
      <c r="FK5" s="22"/>
      <c r="FL5" s="22"/>
      <c r="FM5" s="48" t="s">
        <v>32</v>
      </c>
      <c r="FN5" s="22"/>
      <c r="FO5" s="49"/>
      <c r="FP5" s="22" t="s">
        <v>33</v>
      </c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48" t="s">
        <v>34</v>
      </c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49"/>
      <c r="HC5" s="22" t="s">
        <v>35</v>
      </c>
      <c r="HD5" s="22"/>
      <c r="HE5" s="48" t="s">
        <v>36</v>
      </c>
      <c r="HF5" s="22"/>
      <c r="HG5" s="22"/>
      <c r="HH5" s="22"/>
      <c r="HI5" s="22"/>
      <c r="HJ5" s="49"/>
      <c r="HK5" s="22" t="s">
        <v>36</v>
      </c>
      <c r="HL5" s="48" t="s">
        <v>37</v>
      </c>
      <c r="HM5" s="22"/>
      <c r="HN5" s="22"/>
      <c r="HO5" s="22"/>
      <c r="HP5" s="22"/>
      <c r="HQ5" s="22"/>
      <c r="HR5" s="22"/>
      <c r="HS5" s="49"/>
      <c r="HT5" s="22" t="s">
        <v>38</v>
      </c>
      <c r="HU5" s="22"/>
      <c r="HV5" s="22"/>
      <c r="HW5" s="22"/>
      <c r="HX5" s="22"/>
      <c r="HY5" s="22"/>
      <c r="HZ5" s="48" t="s">
        <v>39</v>
      </c>
      <c r="IA5" s="22"/>
      <c r="IB5" s="22"/>
      <c r="IC5" s="22"/>
      <c r="ID5" s="22"/>
      <c r="IE5" s="22"/>
      <c r="IF5" s="22"/>
      <c r="IG5" s="22"/>
      <c r="IH5" s="22"/>
      <c r="II5" s="49"/>
      <c r="IJ5" s="22" t="s">
        <v>40</v>
      </c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48" t="s">
        <v>41</v>
      </c>
      <c r="IZ5" s="49"/>
      <c r="JA5" s="22" t="s">
        <v>42</v>
      </c>
      <c r="JB5" s="22"/>
      <c r="JC5" s="22"/>
      <c r="JD5" s="48" t="s">
        <v>42</v>
      </c>
      <c r="JE5" s="49"/>
      <c r="JF5" s="22" t="s">
        <v>43</v>
      </c>
      <c r="JG5" s="48" t="s">
        <v>44</v>
      </c>
      <c r="JH5" s="22"/>
      <c r="JI5" s="22"/>
      <c r="JJ5" s="22"/>
      <c r="JK5" s="22"/>
      <c r="JL5" s="22"/>
      <c r="JM5" s="22"/>
      <c r="JN5" s="22"/>
      <c r="JO5" s="22"/>
      <c r="JP5" s="22"/>
      <c r="JQ5" s="49"/>
      <c r="JR5" s="22" t="s">
        <v>45</v>
      </c>
      <c r="JS5" s="48" t="s">
        <v>46</v>
      </c>
      <c r="JT5" s="22"/>
      <c r="JU5" s="22"/>
      <c r="JV5" s="22"/>
      <c r="JW5" s="22"/>
      <c r="JX5" s="49"/>
      <c r="JY5" s="22" t="s">
        <v>450</v>
      </c>
      <c r="JZ5" s="22"/>
      <c r="KA5" s="22"/>
      <c r="KB5" s="48" t="s">
        <v>451</v>
      </c>
      <c r="KC5" s="22"/>
      <c r="KD5" s="22"/>
      <c r="KE5" s="22"/>
      <c r="KF5" s="22"/>
      <c r="KG5" s="22"/>
      <c r="KH5" s="22"/>
      <c r="KI5" s="49"/>
      <c r="KJ5" s="22" t="s">
        <v>452</v>
      </c>
      <c r="KK5" s="22"/>
      <c r="KL5" s="22"/>
      <c r="KM5" s="22"/>
      <c r="KN5" s="22"/>
      <c r="KO5" s="48" t="s">
        <v>453</v>
      </c>
      <c r="KP5" s="22"/>
      <c r="KQ5" s="22"/>
      <c r="KR5" s="22"/>
      <c r="KS5" s="22"/>
      <c r="KT5" s="49"/>
      <c r="KU5" s="22" t="s">
        <v>454</v>
      </c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49"/>
    </row>
    <row r="6" spans="1:318" ht="18" customHeight="1" x14ac:dyDescent="0.3">
      <c r="A6" s="353"/>
      <c r="B6" s="344"/>
      <c r="C6" s="344"/>
      <c r="D6" s="344"/>
      <c r="E6" s="344"/>
      <c r="F6" s="344"/>
      <c r="G6" s="344"/>
      <c r="H6" s="347"/>
      <c r="I6" s="347"/>
      <c r="J6" s="23" t="s">
        <v>47</v>
      </c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51"/>
      <c r="X6" s="50" t="s">
        <v>47</v>
      </c>
      <c r="Y6" s="23"/>
      <c r="Z6" s="23"/>
      <c r="AA6" s="23"/>
      <c r="AB6" s="23"/>
      <c r="AC6" s="23"/>
      <c r="AD6" s="132"/>
      <c r="AE6" s="136" t="s">
        <v>48</v>
      </c>
      <c r="AF6" s="137"/>
      <c r="AG6" s="142" t="s">
        <v>47</v>
      </c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143"/>
      <c r="AS6" s="23" t="s">
        <v>49</v>
      </c>
      <c r="AT6" s="23"/>
      <c r="AU6" s="23"/>
      <c r="AV6" s="50" t="s">
        <v>47</v>
      </c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51"/>
      <c r="BJ6" s="180" t="s">
        <v>50</v>
      </c>
      <c r="BK6" s="180"/>
      <c r="BL6" s="181" t="s">
        <v>51</v>
      </c>
      <c r="BM6" s="182"/>
      <c r="BN6" s="180" t="s">
        <v>52</v>
      </c>
      <c r="BO6" s="180"/>
      <c r="BP6" s="50" t="s">
        <v>53</v>
      </c>
      <c r="BQ6" s="23"/>
      <c r="BR6" s="23"/>
      <c r="BS6" s="23"/>
      <c r="BT6" s="23"/>
      <c r="BU6" s="51"/>
      <c r="BV6" s="180" t="s">
        <v>54</v>
      </c>
      <c r="BW6" s="181" t="s">
        <v>55</v>
      </c>
      <c r="BX6" s="51"/>
      <c r="BY6" s="180" t="s">
        <v>56</v>
      </c>
      <c r="BZ6" s="180"/>
      <c r="CA6" s="181" t="s">
        <v>57</v>
      </c>
      <c r="CB6" s="182"/>
      <c r="CC6" s="180" t="s">
        <v>58</v>
      </c>
      <c r="CD6" s="50" t="s">
        <v>59</v>
      </c>
      <c r="CE6" s="23"/>
      <c r="CF6" s="23"/>
      <c r="CG6" s="23"/>
      <c r="CH6" s="51"/>
      <c r="CI6" s="184" t="s">
        <v>48</v>
      </c>
      <c r="CJ6" s="23" t="s">
        <v>60</v>
      </c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50" t="s">
        <v>61</v>
      </c>
      <c r="DA6" s="51"/>
      <c r="DB6" s="23" t="s">
        <v>62</v>
      </c>
      <c r="DC6" s="23"/>
      <c r="DD6" s="23"/>
      <c r="DE6" s="23"/>
      <c r="DF6" s="23"/>
      <c r="DG6" s="23"/>
      <c r="DH6" s="23"/>
      <c r="DI6" s="50" t="s">
        <v>63</v>
      </c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51"/>
      <c r="DY6" s="23" t="s">
        <v>64</v>
      </c>
      <c r="DZ6" s="23"/>
      <c r="EA6" s="23" t="s">
        <v>47</v>
      </c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50" t="s">
        <v>65</v>
      </c>
      <c r="EO6" s="23"/>
      <c r="EP6" s="51"/>
      <c r="EQ6" s="23" t="s">
        <v>63</v>
      </c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51"/>
      <c r="FG6" s="23" t="s">
        <v>66</v>
      </c>
      <c r="FH6" s="23"/>
      <c r="FI6" s="23"/>
      <c r="FJ6" s="23"/>
      <c r="FK6" s="23"/>
      <c r="FL6" s="23"/>
      <c r="FM6" s="50" t="s">
        <v>48</v>
      </c>
      <c r="FN6" s="23"/>
      <c r="FO6" s="51"/>
      <c r="FP6" s="23" t="s">
        <v>60</v>
      </c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50" t="s">
        <v>63</v>
      </c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51"/>
      <c r="HC6" s="180" t="s">
        <v>50</v>
      </c>
      <c r="HD6" s="23"/>
      <c r="HE6" s="50" t="s">
        <v>67</v>
      </c>
      <c r="HF6" s="23"/>
      <c r="HG6" s="23"/>
      <c r="HH6" s="23"/>
      <c r="HI6" s="23"/>
      <c r="HJ6" s="51"/>
      <c r="HK6" s="23" t="s">
        <v>68</v>
      </c>
      <c r="HL6" s="50" t="s">
        <v>69</v>
      </c>
      <c r="HM6" s="23"/>
      <c r="HN6" s="23"/>
      <c r="HO6" s="23"/>
      <c r="HP6" s="23"/>
      <c r="HQ6" s="23"/>
      <c r="HR6" s="23"/>
      <c r="HS6" s="51"/>
      <c r="HT6" s="23" t="s">
        <v>60</v>
      </c>
      <c r="HU6" s="23"/>
      <c r="HV6" s="23"/>
      <c r="HW6" s="23"/>
      <c r="HX6" s="23"/>
      <c r="HY6" s="23"/>
      <c r="HZ6" s="50" t="s">
        <v>70</v>
      </c>
      <c r="IA6" s="23"/>
      <c r="IB6" s="23"/>
      <c r="IC6" s="23"/>
      <c r="ID6" s="23"/>
      <c r="IE6" s="23"/>
      <c r="IF6" s="23"/>
      <c r="IG6" s="23"/>
      <c r="IH6" s="23"/>
      <c r="II6" s="51"/>
      <c r="IJ6" s="23" t="s">
        <v>71</v>
      </c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181" t="s">
        <v>72</v>
      </c>
      <c r="IZ6" s="51"/>
      <c r="JA6" s="295" t="s">
        <v>73</v>
      </c>
      <c r="JB6" s="23"/>
      <c r="JC6" s="23"/>
      <c r="JD6" s="181" t="s">
        <v>50</v>
      </c>
      <c r="JE6" s="51"/>
      <c r="JF6" s="180" t="s">
        <v>74</v>
      </c>
      <c r="JG6" s="50" t="s">
        <v>75</v>
      </c>
      <c r="JH6" s="23"/>
      <c r="JI6" s="23"/>
      <c r="JJ6" s="23"/>
      <c r="JK6" s="23"/>
      <c r="JL6" s="23"/>
      <c r="JM6" s="23"/>
      <c r="JN6" s="23"/>
      <c r="JO6" s="23"/>
      <c r="JP6" s="23"/>
      <c r="JQ6" s="51"/>
      <c r="JR6" s="180" t="s">
        <v>76</v>
      </c>
      <c r="JS6" s="50" t="s">
        <v>77</v>
      </c>
      <c r="JT6" s="23"/>
      <c r="JU6" s="23"/>
      <c r="JV6" s="23"/>
      <c r="JW6" s="23"/>
      <c r="JX6" s="51"/>
      <c r="JY6" s="23" t="s">
        <v>455</v>
      </c>
      <c r="JZ6" s="23"/>
      <c r="KA6" s="23"/>
      <c r="KB6" s="50" t="s">
        <v>456</v>
      </c>
      <c r="KC6" s="23"/>
      <c r="KD6" s="23"/>
      <c r="KE6" s="23"/>
      <c r="KF6" s="23"/>
      <c r="KG6" s="23"/>
      <c r="KH6" s="23"/>
      <c r="KI6" s="51"/>
      <c r="KJ6" s="23" t="s">
        <v>457</v>
      </c>
      <c r="KK6" s="23"/>
      <c r="KL6" s="23"/>
      <c r="KM6" s="23"/>
      <c r="KN6" s="23"/>
      <c r="KO6" s="50" t="s">
        <v>51</v>
      </c>
      <c r="KP6" s="23"/>
      <c r="KQ6" s="23"/>
      <c r="KR6" s="23"/>
      <c r="KS6" s="23"/>
      <c r="KT6" s="51"/>
      <c r="KU6" s="23" t="s">
        <v>47</v>
      </c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51"/>
    </row>
    <row r="7" spans="1:318" s="1" customFormat="1" ht="18" customHeight="1" x14ac:dyDescent="0.3">
      <c r="A7" s="354"/>
      <c r="B7" s="345"/>
      <c r="C7" s="345"/>
      <c r="D7" s="345"/>
      <c r="E7" s="345"/>
      <c r="F7" s="345"/>
      <c r="G7" s="345"/>
      <c r="H7" s="348"/>
      <c r="I7" s="348"/>
      <c r="J7" s="24" t="s">
        <v>78</v>
      </c>
      <c r="K7" s="24" t="s">
        <v>79</v>
      </c>
      <c r="L7" s="24" t="s">
        <v>80</v>
      </c>
      <c r="M7" s="24" t="s">
        <v>81</v>
      </c>
      <c r="N7" s="24" t="s">
        <v>82</v>
      </c>
      <c r="O7" s="24" t="s">
        <v>83</v>
      </c>
      <c r="P7" s="24" t="s">
        <v>84</v>
      </c>
      <c r="Q7" s="24" t="s">
        <v>78</v>
      </c>
      <c r="R7" s="24" t="s">
        <v>79</v>
      </c>
      <c r="S7" s="24" t="s">
        <v>80</v>
      </c>
      <c r="T7" s="24" t="s">
        <v>81</v>
      </c>
      <c r="U7" s="24" t="s">
        <v>82</v>
      </c>
      <c r="V7" s="24" t="s">
        <v>83</v>
      </c>
      <c r="W7" s="53" t="s">
        <v>84</v>
      </c>
      <c r="X7" s="52" t="s">
        <v>78</v>
      </c>
      <c r="Y7" s="24" t="s">
        <v>81</v>
      </c>
      <c r="Z7" s="24" t="s">
        <v>80</v>
      </c>
      <c r="AA7" s="24" t="s">
        <v>82</v>
      </c>
      <c r="AB7" s="24" t="s">
        <v>85</v>
      </c>
      <c r="AC7" s="24" t="s">
        <v>78</v>
      </c>
      <c r="AD7" s="133" t="s">
        <v>84</v>
      </c>
      <c r="AE7" s="138" t="s">
        <v>86</v>
      </c>
      <c r="AF7" s="139" t="s">
        <v>87</v>
      </c>
      <c r="AG7" s="144" t="s">
        <v>78</v>
      </c>
      <c r="AH7" s="24" t="s">
        <v>79</v>
      </c>
      <c r="AI7" s="24" t="s">
        <v>80</v>
      </c>
      <c r="AJ7" s="24" t="s">
        <v>81</v>
      </c>
      <c r="AK7" s="24" t="s">
        <v>82</v>
      </c>
      <c r="AL7" s="24" t="s">
        <v>83</v>
      </c>
      <c r="AM7" s="24" t="s">
        <v>84</v>
      </c>
      <c r="AN7" s="24" t="s">
        <v>85</v>
      </c>
      <c r="AO7" s="24" t="s">
        <v>79</v>
      </c>
      <c r="AP7" s="24" t="s">
        <v>88</v>
      </c>
      <c r="AQ7" s="24" t="s">
        <v>89</v>
      </c>
      <c r="AR7" s="145" t="s">
        <v>85</v>
      </c>
      <c r="AS7" s="24" t="s">
        <v>84</v>
      </c>
      <c r="AT7" s="24" t="s">
        <v>89</v>
      </c>
      <c r="AU7" s="24" t="s">
        <v>90</v>
      </c>
      <c r="AV7" s="52" t="s">
        <v>78</v>
      </c>
      <c r="AW7" s="24" t="s">
        <v>79</v>
      </c>
      <c r="AX7" s="24" t="s">
        <v>80</v>
      </c>
      <c r="AY7" s="24" t="s">
        <v>81</v>
      </c>
      <c r="AZ7" s="24" t="s">
        <v>82</v>
      </c>
      <c r="BA7" s="24" t="s">
        <v>83</v>
      </c>
      <c r="BB7" s="24" t="s">
        <v>84</v>
      </c>
      <c r="BC7" s="24" t="s">
        <v>91</v>
      </c>
      <c r="BD7" s="24" t="s">
        <v>79</v>
      </c>
      <c r="BE7" s="24" t="s">
        <v>80</v>
      </c>
      <c r="BF7" s="24" t="s">
        <v>88</v>
      </c>
      <c r="BG7" s="24" t="s">
        <v>89</v>
      </c>
      <c r="BH7" s="24" t="s">
        <v>85</v>
      </c>
      <c r="BI7" s="53" t="s">
        <v>91</v>
      </c>
      <c r="BJ7" s="185" t="s">
        <v>86</v>
      </c>
      <c r="BK7" s="185" t="s">
        <v>87</v>
      </c>
      <c r="BL7" s="186" t="s">
        <v>92</v>
      </c>
      <c r="BM7" s="187" t="s">
        <v>93</v>
      </c>
      <c r="BN7" s="185" t="s">
        <v>84</v>
      </c>
      <c r="BO7" s="185" t="s">
        <v>89</v>
      </c>
      <c r="BP7" s="186" t="s">
        <v>85</v>
      </c>
      <c r="BQ7" s="185" t="s">
        <v>94</v>
      </c>
      <c r="BR7" s="185" t="s">
        <v>91</v>
      </c>
      <c r="BS7" s="185" t="s">
        <v>95</v>
      </c>
      <c r="BT7" s="185" t="s">
        <v>96</v>
      </c>
      <c r="BU7" s="187" t="s">
        <v>97</v>
      </c>
      <c r="BV7" s="185" t="s">
        <v>84</v>
      </c>
      <c r="BW7" s="186" t="s">
        <v>85</v>
      </c>
      <c r="BX7" s="187" t="s">
        <v>86</v>
      </c>
      <c r="BY7" s="185" t="s">
        <v>98</v>
      </c>
      <c r="BZ7" s="185" t="s">
        <v>93</v>
      </c>
      <c r="CA7" s="186" t="s">
        <v>95</v>
      </c>
      <c r="CB7" s="187" t="s">
        <v>99</v>
      </c>
      <c r="CC7" s="185" t="s">
        <v>91</v>
      </c>
      <c r="CD7" s="186" t="s">
        <v>100</v>
      </c>
      <c r="CE7" s="185" t="s">
        <v>91</v>
      </c>
      <c r="CF7" s="185" t="s">
        <v>101</v>
      </c>
      <c r="CG7" s="185" t="s">
        <v>96</v>
      </c>
      <c r="CH7" s="187" t="s">
        <v>102</v>
      </c>
      <c r="CI7" s="188" t="s">
        <v>93</v>
      </c>
      <c r="CJ7" s="185" t="s">
        <v>80</v>
      </c>
      <c r="CK7" s="185" t="s">
        <v>82</v>
      </c>
      <c r="CL7" s="185" t="s">
        <v>98</v>
      </c>
      <c r="CM7" s="185" t="s">
        <v>88</v>
      </c>
      <c r="CN7" s="185" t="s">
        <v>83</v>
      </c>
      <c r="CO7" s="185" t="s">
        <v>91</v>
      </c>
      <c r="CP7" s="185" t="s">
        <v>95</v>
      </c>
      <c r="CQ7" s="185" t="s">
        <v>81</v>
      </c>
      <c r="CR7" s="185" t="s">
        <v>103</v>
      </c>
      <c r="CS7" s="185" t="s">
        <v>104</v>
      </c>
      <c r="CT7" s="185" t="s">
        <v>101</v>
      </c>
      <c r="CU7" s="185" t="s">
        <v>89</v>
      </c>
      <c r="CV7" s="185" t="s">
        <v>87</v>
      </c>
      <c r="CW7" s="185" t="s">
        <v>96</v>
      </c>
      <c r="CX7" s="185" t="s">
        <v>97</v>
      </c>
      <c r="CY7" s="185" t="s">
        <v>83</v>
      </c>
      <c r="CZ7" s="186" t="s">
        <v>84</v>
      </c>
      <c r="DA7" s="187" t="s">
        <v>89</v>
      </c>
      <c r="DB7" s="185" t="s">
        <v>91</v>
      </c>
      <c r="DC7" s="185" t="s">
        <v>84</v>
      </c>
      <c r="DD7" s="185" t="s">
        <v>95</v>
      </c>
      <c r="DE7" s="185" t="s">
        <v>89</v>
      </c>
      <c r="DF7" s="185" t="s">
        <v>96</v>
      </c>
      <c r="DG7" s="185" t="s">
        <v>90</v>
      </c>
      <c r="DH7" s="185" t="s">
        <v>97</v>
      </c>
      <c r="DI7" s="186" t="s">
        <v>80</v>
      </c>
      <c r="DJ7" s="185" t="s">
        <v>98</v>
      </c>
      <c r="DK7" s="185" t="s">
        <v>100</v>
      </c>
      <c r="DL7" s="185" t="s">
        <v>82</v>
      </c>
      <c r="DM7" s="185" t="s">
        <v>88</v>
      </c>
      <c r="DN7" s="185" t="s">
        <v>83</v>
      </c>
      <c r="DO7" s="185" t="s">
        <v>85</v>
      </c>
      <c r="DP7" s="185" t="s">
        <v>96</v>
      </c>
      <c r="DQ7" s="185" t="s">
        <v>80</v>
      </c>
      <c r="DR7" s="185" t="s">
        <v>103</v>
      </c>
      <c r="DS7" s="185" t="s">
        <v>101</v>
      </c>
      <c r="DT7" s="185" t="s">
        <v>81</v>
      </c>
      <c r="DU7" s="185" t="s">
        <v>104</v>
      </c>
      <c r="DV7" s="185" t="s">
        <v>84</v>
      </c>
      <c r="DW7" s="185" t="s">
        <v>91</v>
      </c>
      <c r="DX7" s="187" t="s">
        <v>102</v>
      </c>
      <c r="DY7" s="185" t="s">
        <v>93</v>
      </c>
      <c r="DZ7" s="185" t="s">
        <v>92</v>
      </c>
      <c r="EA7" s="185" t="s">
        <v>78</v>
      </c>
      <c r="EB7" s="185" t="s">
        <v>79</v>
      </c>
      <c r="EC7" s="185" t="s">
        <v>93</v>
      </c>
      <c r="ED7" s="185" t="s">
        <v>81</v>
      </c>
      <c r="EE7" s="185" t="s">
        <v>82</v>
      </c>
      <c r="EF7" s="185" t="s">
        <v>83</v>
      </c>
      <c r="EG7" s="185" t="s">
        <v>84</v>
      </c>
      <c r="EH7" s="185" t="s">
        <v>78</v>
      </c>
      <c r="EI7" s="185" t="s">
        <v>79</v>
      </c>
      <c r="EJ7" s="185" t="s">
        <v>93</v>
      </c>
      <c r="EK7" s="185" t="s">
        <v>88</v>
      </c>
      <c r="EL7" s="185" t="s">
        <v>104</v>
      </c>
      <c r="EM7" s="185" t="s">
        <v>85</v>
      </c>
      <c r="EN7" s="255" t="s">
        <v>84</v>
      </c>
      <c r="EO7" s="256" t="s">
        <v>89</v>
      </c>
      <c r="EP7" s="257" t="s">
        <v>90</v>
      </c>
      <c r="EQ7" s="185" t="s">
        <v>80</v>
      </c>
      <c r="ER7" s="185" t="s">
        <v>98</v>
      </c>
      <c r="ES7" s="185" t="s">
        <v>93</v>
      </c>
      <c r="ET7" s="185" t="s">
        <v>82</v>
      </c>
      <c r="EU7" s="185" t="s">
        <v>88</v>
      </c>
      <c r="EV7" s="185" t="s">
        <v>84</v>
      </c>
      <c r="EW7" s="185" t="s">
        <v>85</v>
      </c>
      <c r="EX7" s="185" t="s">
        <v>102</v>
      </c>
      <c r="EY7" s="185" t="s">
        <v>80</v>
      </c>
      <c r="EZ7" s="185" t="s">
        <v>98</v>
      </c>
      <c r="FA7" s="185" t="s">
        <v>93</v>
      </c>
      <c r="FB7" s="185" t="s">
        <v>81</v>
      </c>
      <c r="FC7" s="185" t="s">
        <v>104</v>
      </c>
      <c r="FD7" s="185" t="s">
        <v>89</v>
      </c>
      <c r="FE7" s="185" t="s">
        <v>91</v>
      </c>
      <c r="FF7" s="187" t="s">
        <v>96</v>
      </c>
      <c r="FG7" s="185" t="s">
        <v>82</v>
      </c>
      <c r="FH7" s="185" t="s">
        <v>81</v>
      </c>
      <c r="FI7" s="185" t="s">
        <v>88</v>
      </c>
      <c r="FJ7" s="185" t="s">
        <v>105</v>
      </c>
      <c r="FK7" s="185" t="s">
        <v>83</v>
      </c>
      <c r="FL7" s="185" t="s">
        <v>84</v>
      </c>
      <c r="FM7" s="186" t="s">
        <v>80</v>
      </c>
      <c r="FN7" s="185" t="s">
        <v>93</v>
      </c>
      <c r="FO7" s="187" t="s">
        <v>106</v>
      </c>
      <c r="FP7" s="185" t="s">
        <v>82</v>
      </c>
      <c r="FQ7" s="185" t="s">
        <v>88</v>
      </c>
      <c r="FR7" s="185" t="s">
        <v>83</v>
      </c>
      <c r="FS7" s="185" t="s">
        <v>84</v>
      </c>
      <c r="FT7" s="185" t="s">
        <v>85</v>
      </c>
      <c r="FU7" s="185" t="s">
        <v>96</v>
      </c>
      <c r="FV7" s="185" t="s">
        <v>95</v>
      </c>
      <c r="FW7" s="185" t="s">
        <v>81</v>
      </c>
      <c r="FX7" s="185" t="s">
        <v>104</v>
      </c>
      <c r="FY7" s="185" t="s">
        <v>88</v>
      </c>
      <c r="FZ7" s="185" t="s">
        <v>101</v>
      </c>
      <c r="GA7" s="185" t="s">
        <v>83</v>
      </c>
      <c r="GB7" s="185" t="s">
        <v>91</v>
      </c>
      <c r="GC7" s="185" t="s">
        <v>96</v>
      </c>
      <c r="GD7" s="185" t="s">
        <v>97</v>
      </c>
      <c r="GE7" s="186" t="s">
        <v>80</v>
      </c>
      <c r="GF7" s="185" t="s">
        <v>79</v>
      </c>
      <c r="GG7" s="185" t="s">
        <v>82</v>
      </c>
      <c r="GH7" s="185" t="s">
        <v>88</v>
      </c>
      <c r="GI7" s="185" t="s">
        <v>83</v>
      </c>
      <c r="GJ7" s="185" t="s">
        <v>100</v>
      </c>
      <c r="GK7" s="185" t="s">
        <v>85</v>
      </c>
      <c r="GL7" s="185" t="s">
        <v>91</v>
      </c>
      <c r="GM7" s="185" t="s">
        <v>80</v>
      </c>
      <c r="GN7" s="185" t="s">
        <v>81</v>
      </c>
      <c r="GO7" s="185" t="s">
        <v>79</v>
      </c>
      <c r="GP7" s="185" t="s">
        <v>104</v>
      </c>
      <c r="GQ7" s="185" t="s">
        <v>107</v>
      </c>
      <c r="GR7" s="185" t="s">
        <v>84</v>
      </c>
      <c r="GS7" s="185" t="s">
        <v>91</v>
      </c>
      <c r="GT7" s="185" t="s">
        <v>102</v>
      </c>
      <c r="GU7" s="185" t="s">
        <v>108</v>
      </c>
      <c r="GV7" s="185" t="s">
        <v>80</v>
      </c>
      <c r="GW7" s="185" t="s">
        <v>82</v>
      </c>
      <c r="GX7" s="185" t="s">
        <v>109</v>
      </c>
      <c r="GY7" s="185" t="s">
        <v>88</v>
      </c>
      <c r="GZ7" s="185" t="s">
        <v>83</v>
      </c>
      <c r="HA7" s="185" t="s">
        <v>85</v>
      </c>
      <c r="HB7" s="187" t="s">
        <v>96</v>
      </c>
      <c r="HC7" s="185" t="s">
        <v>86</v>
      </c>
      <c r="HD7" s="185" t="s">
        <v>87</v>
      </c>
      <c r="HE7" s="186" t="s">
        <v>110</v>
      </c>
      <c r="HF7" s="185" t="s">
        <v>111</v>
      </c>
      <c r="HG7" s="185" t="s">
        <v>112</v>
      </c>
      <c r="HH7" s="185" t="s">
        <v>113</v>
      </c>
      <c r="HI7" s="185" t="s">
        <v>114</v>
      </c>
      <c r="HJ7" s="187" t="s">
        <v>105</v>
      </c>
      <c r="HK7" s="185" t="s">
        <v>93</v>
      </c>
      <c r="HL7" s="186" t="s">
        <v>91</v>
      </c>
      <c r="HM7" s="185" t="s">
        <v>96</v>
      </c>
      <c r="HN7" s="185" t="s">
        <v>102</v>
      </c>
      <c r="HO7" s="185" t="s">
        <v>84</v>
      </c>
      <c r="HP7" s="185" t="s">
        <v>89</v>
      </c>
      <c r="HQ7" s="185" t="s">
        <v>90</v>
      </c>
      <c r="HR7" s="185" t="s">
        <v>100</v>
      </c>
      <c r="HS7" s="187" t="s">
        <v>101</v>
      </c>
      <c r="HT7" s="185" t="s">
        <v>83</v>
      </c>
      <c r="HU7" s="185" t="s">
        <v>82</v>
      </c>
      <c r="HV7" s="185" t="s">
        <v>85</v>
      </c>
      <c r="HW7" s="185" t="s">
        <v>84</v>
      </c>
      <c r="HX7" s="185" t="s">
        <v>81</v>
      </c>
      <c r="HY7" s="185" t="s">
        <v>91</v>
      </c>
      <c r="HZ7" s="186" t="s">
        <v>96</v>
      </c>
      <c r="IA7" s="185" t="s">
        <v>93</v>
      </c>
      <c r="IB7" s="185" t="s">
        <v>98</v>
      </c>
      <c r="IC7" s="185" t="s">
        <v>91</v>
      </c>
      <c r="ID7" s="185" t="s">
        <v>82</v>
      </c>
      <c r="IE7" s="185" t="s">
        <v>100</v>
      </c>
      <c r="IF7" s="185" t="s">
        <v>88</v>
      </c>
      <c r="IG7" s="185" t="s">
        <v>87</v>
      </c>
      <c r="IH7" s="185" t="s">
        <v>102</v>
      </c>
      <c r="II7" s="187" t="s">
        <v>101</v>
      </c>
      <c r="IJ7" s="185" t="s">
        <v>82</v>
      </c>
      <c r="IK7" s="185" t="s">
        <v>81</v>
      </c>
      <c r="IL7" s="185" t="s">
        <v>83</v>
      </c>
      <c r="IM7" s="185" t="s">
        <v>82</v>
      </c>
      <c r="IN7" s="185" t="s">
        <v>88</v>
      </c>
      <c r="IO7" s="185" t="s">
        <v>115</v>
      </c>
      <c r="IP7" s="185" t="s">
        <v>84</v>
      </c>
      <c r="IQ7" s="185" t="s">
        <v>86</v>
      </c>
      <c r="IR7" s="185" t="s">
        <v>96</v>
      </c>
      <c r="IS7" s="185" t="s">
        <v>82</v>
      </c>
      <c r="IT7" s="185" t="s">
        <v>104</v>
      </c>
      <c r="IU7" s="185" t="s">
        <v>87</v>
      </c>
      <c r="IV7" s="185" t="s">
        <v>116</v>
      </c>
      <c r="IW7" s="185" t="s">
        <v>89</v>
      </c>
      <c r="IX7" s="185" t="s">
        <v>96</v>
      </c>
      <c r="IY7" s="186" t="s">
        <v>104</v>
      </c>
      <c r="IZ7" s="187" t="s">
        <v>108</v>
      </c>
      <c r="JA7" s="185" t="s">
        <v>91</v>
      </c>
      <c r="JB7" s="185" t="s">
        <v>91</v>
      </c>
      <c r="JC7" s="185" t="s">
        <v>96</v>
      </c>
      <c r="JD7" s="186" t="s">
        <v>91</v>
      </c>
      <c r="JE7" s="187" t="s">
        <v>96</v>
      </c>
      <c r="JF7" s="185" t="s">
        <v>95</v>
      </c>
      <c r="JG7" s="186" t="s">
        <v>80</v>
      </c>
      <c r="JH7" s="185" t="s">
        <v>82</v>
      </c>
      <c r="JI7" s="185" t="s">
        <v>88</v>
      </c>
      <c r="JJ7" s="185" t="s">
        <v>83</v>
      </c>
      <c r="JK7" s="185" t="s">
        <v>85</v>
      </c>
      <c r="JL7" s="185" t="s">
        <v>96</v>
      </c>
      <c r="JM7" s="185" t="s">
        <v>80</v>
      </c>
      <c r="JN7" s="185" t="s">
        <v>81</v>
      </c>
      <c r="JO7" s="185" t="s">
        <v>104</v>
      </c>
      <c r="JP7" s="185" t="s">
        <v>84</v>
      </c>
      <c r="JQ7" s="187" t="s">
        <v>91</v>
      </c>
      <c r="JR7" s="185" t="s">
        <v>117</v>
      </c>
      <c r="JS7" s="186" t="s">
        <v>78</v>
      </c>
      <c r="JT7" s="185" t="s">
        <v>82</v>
      </c>
      <c r="JU7" s="185" t="s">
        <v>80</v>
      </c>
      <c r="JV7" s="185" t="s">
        <v>88</v>
      </c>
      <c r="JW7" s="185" t="s">
        <v>84</v>
      </c>
      <c r="JX7" s="187" t="s">
        <v>85</v>
      </c>
      <c r="JY7" s="185" t="s">
        <v>84</v>
      </c>
      <c r="JZ7" s="185" t="s">
        <v>89</v>
      </c>
      <c r="KA7" s="185" t="s">
        <v>90</v>
      </c>
      <c r="KB7" s="186" t="s">
        <v>78</v>
      </c>
      <c r="KC7" s="185" t="s">
        <v>82</v>
      </c>
      <c r="KD7" s="185" t="s">
        <v>88</v>
      </c>
      <c r="KE7" s="185" t="s">
        <v>84</v>
      </c>
      <c r="KF7" s="185" t="s">
        <v>78</v>
      </c>
      <c r="KG7" s="185" t="s">
        <v>82</v>
      </c>
      <c r="KH7" s="185" t="s">
        <v>88</v>
      </c>
      <c r="KI7" s="187" t="s">
        <v>84</v>
      </c>
      <c r="KJ7" s="185" t="s">
        <v>458</v>
      </c>
      <c r="KK7" s="185" t="s">
        <v>459</v>
      </c>
      <c r="KL7" s="185" t="s">
        <v>434</v>
      </c>
      <c r="KM7" s="185" t="s">
        <v>460</v>
      </c>
      <c r="KN7" s="185" t="s">
        <v>434</v>
      </c>
      <c r="KO7" s="186" t="s">
        <v>84</v>
      </c>
      <c r="KP7" s="185" t="s">
        <v>89</v>
      </c>
      <c r="KQ7" s="185" t="s">
        <v>91</v>
      </c>
      <c r="KR7" s="185" t="s">
        <v>100</v>
      </c>
      <c r="KS7" s="185" t="s">
        <v>96</v>
      </c>
      <c r="KT7" s="187" t="s">
        <v>101</v>
      </c>
      <c r="KU7" s="185" t="s">
        <v>78</v>
      </c>
      <c r="KV7" s="185" t="s">
        <v>81</v>
      </c>
      <c r="KW7" s="185" t="s">
        <v>80</v>
      </c>
      <c r="KX7" s="185" t="s">
        <v>82</v>
      </c>
      <c r="KY7" s="185" t="s">
        <v>83</v>
      </c>
      <c r="KZ7" s="185" t="s">
        <v>85</v>
      </c>
      <c r="LA7" s="185" t="s">
        <v>79</v>
      </c>
      <c r="LB7" s="185" t="s">
        <v>81</v>
      </c>
      <c r="LC7" s="185" t="s">
        <v>98</v>
      </c>
      <c r="LD7" s="185" t="s">
        <v>82</v>
      </c>
      <c r="LE7" s="185" t="s">
        <v>88</v>
      </c>
      <c r="LF7" s="187" t="s">
        <v>84</v>
      </c>
    </row>
    <row r="8" spans="1:318" s="72" customFormat="1" ht="18" customHeight="1" x14ac:dyDescent="0.25">
      <c r="A8" s="14">
        <v>1</v>
      </c>
      <c r="B8" s="13" t="s">
        <v>388</v>
      </c>
      <c r="C8" s="1">
        <v>7853</v>
      </c>
      <c r="D8" t="s">
        <v>389</v>
      </c>
      <c r="E8" s="1">
        <v>9541</v>
      </c>
      <c r="F8" s="1">
        <v>2012</v>
      </c>
      <c r="G8" t="s">
        <v>146</v>
      </c>
      <c r="H8" s="1">
        <f>SUM(J8:LL8)</f>
        <v>160.19999999999999</v>
      </c>
      <c r="I8" s="14">
        <f>Tabuľka1[[#This Row],[Stĺpec33]]+Tabuľka1[[#This Row],[Stĺpec56]]+Tabuľka1[[#This Row],[Stĺpec207]]+Tabuľka1[[#This Row],[Stĺpec198]]+Tabuľka1[[#This Row],[Stĺpec190]]+Tabuľka1[[#This Row],[Stĺpec189]]+Tabuľka1[[#This Row],[Stĺpec269]]+Tabuľka1[[#This Row],[Stĺpec266]]+Tabuľka1[[#This Row],[Stĺpec265]]+Tabuľka1[[#This Row],[Stĺpec260]]+Tabuľka1[[#This Row],[Stĺpec259]]+Tabuľka1[[#This Row],[Stĺpec299]]+Tabuľka1[[#This Row],[Stĺpec241]]+Tabuľka1[[#This Row],[Stĺpec240]]+KC9</f>
        <v>106.2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>
        <v>6</v>
      </c>
      <c r="AH8" s="1">
        <v>2</v>
      </c>
      <c r="AI8" s="1"/>
      <c r="AJ8" s="1"/>
      <c r="AK8" s="1"/>
      <c r="AL8" s="1"/>
      <c r="AM8" s="1"/>
      <c r="AN8" s="1"/>
      <c r="AO8" s="1">
        <v>4</v>
      </c>
      <c r="AP8" s="1">
        <v>3</v>
      </c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>
        <v>3</v>
      </c>
      <c r="BE8" s="1"/>
      <c r="BF8" s="1">
        <v>6</v>
      </c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/>
      <c r="DJ8"/>
      <c r="DK8"/>
      <c r="DL8">
        <v>3</v>
      </c>
      <c r="DM8">
        <v>3</v>
      </c>
      <c r="DN8"/>
      <c r="DO8"/>
      <c r="DP8"/>
      <c r="DQ8"/>
      <c r="DR8"/>
      <c r="DS8"/>
      <c r="DT8">
        <f>3+1</f>
        <v>4</v>
      </c>
      <c r="DU8">
        <f>3+1</f>
        <v>4</v>
      </c>
      <c r="DV8"/>
      <c r="DW8" s="1"/>
      <c r="DX8" s="1"/>
      <c r="DY8" s="1"/>
      <c r="DZ8" s="1"/>
      <c r="EA8"/>
      <c r="EB8"/>
      <c r="EC8"/>
      <c r="ED8"/>
      <c r="EE8"/>
      <c r="EF8"/>
      <c r="EG8"/>
      <c r="EH8">
        <v>2</v>
      </c>
      <c r="EI8"/>
      <c r="EJ8"/>
      <c r="EK8">
        <f>0+1</f>
        <v>1</v>
      </c>
      <c r="EL8"/>
      <c r="EM8"/>
      <c r="EN8"/>
      <c r="EO8"/>
      <c r="EP8"/>
      <c r="EQ8"/>
      <c r="ER8"/>
      <c r="ES8"/>
      <c r="ET8">
        <f>3+1</f>
        <v>4</v>
      </c>
      <c r="EU8">
        <v>3</v>
      </c>
      <c r="EV8"/>
      <c r="EW8"/>
      <c r="EX8"/>
      <c r="EY8"/>
      <c r="EZ8"/>
      <c r="FA8"/>
      <c r="FB8">
        <v>2</v>
      </c>
      <c r="FC8">
        <v>3</v>
      </c>
      <c r="FD8"/>
      <c r="FE8"/>
      <c r="FF8"/>
      <c r="FG8" s="268"/>
      <c r="FH8" s="268"/>
      <c r="FI8" s="268"/>
      <c r="FJ8" s="268"/>
      <c r="FK8" s="268"/>
      <c r="FL8" s="264"/>
      <c r="FM8" s="268"/>
      <c r="FN8" s="268"/>
      <c r="FO8" s="264"/>
      <c r="FP8" s="268"/>
      <c r="FQ8" s="268"/>
      <c r="FR8" s="268"/>
      <c r="FS8" s="268"/>
      <c r="FT8" s="268"/>
      <c r="FU8" s="268"/>
      <c r="FV8" s="268"/>
      <c r="FW8" s="268"/>
      <c r="FX8" s="268"/>
      <c r="FY8" s="268"/>
      <c r="FZ8" s="268"/>
      <c r="GA8" s="268"/>
      <c r="GB8" s="268"/>
      <c r="GC8" s="268"/>
      <c r="GD8" s="264"/>
      <c r="GE8" s="268"/>
      <c r="GF8" s="268">
        <f>3+3</f>
        <v>6</v>
      </c>
      <c r="GG8" s="268">
        <f>3+1</f>
        <v>4</v>
      </c>
      <c r="GH8" s="268"/>
      <c r="GI8" s="268"/>
      <c r="GJ8" s="268"/>
      <c r="GK8" s="268"/>
      <c r="GL8" s="268"/>
      <c r="GM8" s="268"/>
      <c r="GN8" s="268"/>
      <c r="GO8" s="268">
        <f>(3+2)*1.2</f>
        <v>6</v>
      </c>
      <c r="GP8" s="268"/>
      <c r="GQ8" s="268"/>
      <c r="GR8" s="268"/>
      <c r="GS8" s="268"/>
      <c r="GT8" s="268"/>
      <c r="GU8" s="268">
        <v>3</v>
      </c>
      <c r="GV8" s="268"/>
      <c r="GW8" s="268">
        <f>3+3</f>
        <v>6</v>
      </c>
      <c r="GX8" s="268">
        <f>(3+3)*1.2</f>
        <v>7.1999999999999993</v>
      </c>
      <c r="GY8" s="268"/>
      <c r="GZ8" s="268"/>
      <c r="HA8" s="268"/>
      <c r="HB8" s="268"/>
      <c r="HC8" s="268"/>
      <c r="HD8" s="268"/>
      <c r="HE8" s="268"/>
      <c r="HF8" s="268"/>
      <c r="HG8" s="268"/>
      <c r="HH8" s="268"/>
      <c r="HI8" s="268"/>
      <c r="HJ8" s="268"/>
      <c r="HK8" s="268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>
        <v>9</v>
      </c>
      <c r="IK8" s="1">
        <v>2</v>
      </c>
      <c r="IL8" s="1"/>
      <c r="IM8" s="1">
        <v>8</v>
      </c>
      <c r="IN8" s="1">
        <v>8</v>
      </c>
      <c r="IO8" s="1"/>
      <c r="IP8" s="1"/>
      <c r="IQ8" s="1"/>
      <c r="IR8" s="1"/>
      <c r="IS8" s="1">
        <v>8</v>
      </c>
      <c r="IT8" s="1">
        <v>6</v>
      </c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>
        <v>0</v>
      </c>
      <c r="JI8" s="1">
        <v>4</v>
      </c>
      <c r="JJ8" s="1"/>
      <c r="JK8" s="1"/>
      <c r="JL8" s="1"/>
      <c r="JM8" s="1"/>
      <c r="JN8" s="1">
        <v>0</v>
      </c>
      <c r="JO8" s="1">
        <v>2</v>
      </c>
      <c r="JP8" s="1"/>
      <c r="JQ8" s="1"/>
      <c r="JR8" s="1"/>
      <c r="JS8" s="1">
        <v>8</v>
      </c>
      <c r="JT8" s="1">
        <v>5</v>
      </c>
      <c r="JU8" s="1"/>
      <c r="JV8" s="1"/>
      <c r="JW8" s="1"/>
      <c r="JX8" s="1"/>
      <c r="JY8" s="1"/>
      <c r="JZ8" s="1"/>
      <c r="KA8" s="1"/>
      <c r="KB8" s="268"/>
      <c r="KC8" s="268">
        <f>3+6</f>
        <v>9</v>
      </c>
      <c r="KD8" s="268">
        <f>4+2</f>
        <v>6</v>
      </c>
      <c r="KE8" s="268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</row>
    <row r="9" spans="1:318" s="72" customFormat="1" ht="18" customHeight="1" x14ac:dyDescent="0.25">
      <c r="A9" s="14"/>
      <c r="B9" s="13"/>
      <c r="C9" s="1"/>
      <c r="D9" t="s">
        <v>390</v>
      </c>
      <c r="E9" s="1">
        <v>10175</v>
      </c>
      <c r="F9" s="1">
        <v>2004</v>
      </c>
      <c r="G9"/>
      <c r="H9" s="1">
        <f>SUM(J9:LL9)</f>
        <v>15</v>
      </c>
      <c r="I9" s="14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274"/>
      <c r="FH9" s="274"/>
      <c r="FI9" s="274"/>
      <c r="FJ9" s="274"/>
      <c r="FK9" s="274"/>
      <c r="FL9" s="270"/>
      <c r="FM9" s="274"/>
      <c r="FN9" s="274"/>
      <c r="FO9" s="270"/>
      <c r="FP9" s="274"/>
      <c r="FQ9" s="274"/>
      <c r="FR9" s="274"/>
      <c r="FS9" s="274"/>
      <c r="FT9" s="274"/>
      <c r="FU9" s="274"/>
      <c r="FV9" s="274"/>
      <c r="FW9" s="274"/>
      <c r="FX9" s="274"/>
      <c r="FY9" s="274"/>
      <c r="FZ9" s="274"/>
      <c r="GA9" s="274"/>
      <c r="GB9" s="274"/>
      <c r="GC9" s="274"/>
      <c r="GD9" s="270"/>
      <c r="GE9" s="274"/>
      <c r="GF9" s="274"/>
      <c r="GG9" s="274"/>
      <c r="GH9" s="274"/>
      <c r="GI9" s="274"/>
      <c r="GJ9" s="274"/>
      <c r="GK9" s="274"/>
      <c r="GL9" s="274"/>
      <c r="GM9" s="274"/>
      <c r="GN9" s="274"/>
      <c r="GO9" s="274"/>
      <c r="GP9" s="274"/>
      <c r="GQ9" s="274"/>
      <c r="GR9" s="274"/>
      <c r="GS9" s="274"/>
      <c r="GT9" s="274"/>
      <c r="GU9" s="274"/>
      <c r="GV9" s="274"/>
      <c r="GW9" s="274"/>
      <c r="GX9" s="274"/>
      <c r="GY9" s="274"/>
      <c r="GZ9" s="274"/>
      <c r="HA9" s="274"/>
      <c r="HB9" s="274"/>
      <c r="HC9" s="274"/>
      <c r="HD9" s="274"/>
      <c r="HE9" s="274"/>
      <c r="HF9" s="274"/>
      <c r="HG9" s="274"/>
      <c r="HH9" s="274"/>
      <c r="HI9" s="274"/>
      <c r="HJ9" s="274"/>
      <c r="HK9" s="274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268"/>
      <c r="JT9" s="268">
        <v>0</v>
      </c>
      <c r="JU9" s="268"/>
      <c r="JV9" s="268">
        <v>2</v>
      </c>
      <c r="JW9" s="1"/>
      <c r="JX9" s="1"/>
      <c r="JY9" s="1"/>
      <c r="JZ9" s="1"/>
      <c r="KA9" s="1"/>
      <c r="KB9" s="268"/>
      <c r="KC9" s="268">
        <f>2+5</f>
        <v>7</v>
      </c>
      <c r="KD9" s="268">
        <f>4+2</f>
        <v>6</v>
      </c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</row>
    <row r="10" spans="1:318" s="55" customFormat="1" ht="18" customHeight="1" x14ac:dyDescent="0.25">
      <c r="A10" s="14">
        <v>2</v>
      </c>
      <c r="B10" s="13" t="s">
        <v>391</v>
      </c>
      <c r="C10" s="1">
        <v>7987</v>
      </c>
      <c r="D10" s="4" t="s">
        <v>392</v>
      </c>
      <c r="E10" s="1">
        <v>9897</v>
      </c>
      <c r="F10" s="1">
        <v>2004</v>
      </c>
      <c r="G10" s="4" t="s">
        <v>215</v>
      </c>
      <c r="H10" s="1">
        <f>SUM(J10:LL10)</f>
        <v>95.8</v>
      </c>
      <c r="I10" s="14">
        <f>Tabuľka1[[#This Row],[Stĺpec78]]+Tabuľka1[[#This Row],[Stĺpec145]]+Tabuľka1[[#This Row],[Stĺpec136]]+EQ11+Tabuľka1[[#This Row],[Stĺpec157]]+EY11+Tabuľka1[[#This Row],[Stĺpec150]]+Tabuľka1[[#This Row],[Stĺpec149]]+FG11+GF11+GM11+GX11+Tabuľka1[[#This Row],[Stĺpec275]]+Tabuľka1[[#This Row],[Stĺpec273]]+Tabuľka1[[#This Row],[Stĺpec245]]</f>
        <v>86.8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>
        <v>3</v>
      </c>
      <c r="AZ10" s="1">
        <v>3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>
        <v>0</v>
      </c>
      <c r="CL10" s="1"/>
      <c r="CM10" s="1">
        <v>7</v>
      </c>
      <c r="CN10" s="1"/>
      <c r="CO10" s="1"/>
      <c r="CP10" s="1"/>
      <c r="CQ10" s="1">
        <v>0</v>
      </c>
      <c r="CR10" s="1"/>
      <c r="CS10" s="1">
        <v>0</v>
      </c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/>
      <c r="DJ10"/>
      <c r="DK10"/>
      <c r="DL10">
        <v>2</v>
      </c>
      <c r="DM10">
        <f>4+3</f>
        <v>7</v>
      </c>
      <c r="DN10"/>
      <c r="DO10"/>
      <c r="DP10"/>
      <c r="DQ10"/>
      <c r="DR10"/>
      <c r="DS10"/>
      <c r="DT10">
        <f>2+1</f>
        <v>3</v>
      </c>
      <c r="DU10">
        <f>4+3</f>
        <v>7</v>
      </c>
      <c r="DV10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/>
      <c r="ER10"/>
      <c r="ES10"/>
      <c r="ET10">
        <f>1+0</f>
        <v>1</v>
      </c>
      <c r="EU10">
        <v>4</v>
      </c>
      <c r="EV10"/>
      <c r="EW10"/>
      <c r="EX10"/>
      <c r="EY10"/>
      <c r="EZ10"/>
      <c r="FA10"/>
      <c r="FB10">
        <f>3+1</f>
        <v>4</v>
      </c>
      <c r="FC10">
        <f>4+1</f>
        <v>5</v>
      </c>
      <c r="FD10"/>
      <c r="FE10"/>
      <c r="FF10"/>
      <c r="FG10" s="268"/>
      <c r="FH10" s="268"/>
      <c r="FI10" s="268"/>
      <c r="FJ10" s="268"/>
      <c r="FK10" s="268"/>
      <c r="FL10" s="264"/>
      <c r="FM10" s="268"/>
      <c r="FN10" s="268"/>
      <c r="FO10" s="264"/>
      <c r="FP10" s="268"/>
      <c r="FQ10" s="268"/>
      <c r="FR10" s="268"/>
      <c r="FS10" s="268"/>
      <c r="FT10" s="268"/>
      <c r="FU10" s="268"/>
      <c r="FV10" s="268"/>
      <c r="FW10" s="268"/>
      <c r="FX10" s="268"/>
      <c r="FY10" s="268"/>
      <c r="FZ10" s="268"/>
      <c r="GA10" s="268"/>
      <c r="GB10" s="268"/>
      <c r="GC10" s="268"/>
      <c r="GD10" s="264"/>
      <c r="GE10" s="268"/>
      <c r="GF10" s="268"/>
      <c r="GG10" s="268">
        <v>0</v>
      </c>
      <c r="GH10" s="268">
        <v>4</v>
      </c>
      <c r="GI10" s="268"/>
      <c r="GJ10" s="268"/>
      <c r="GK10" s="268"/>
      <c r="GL10" s="268"/>
      <c r="GM10" s="268"/>
      <c r="GN10" s="268">
        <v>3</v>
      </c>
      <c r="GO10" s="268"/>
      <c r="GP10" s="268">
        <v>4</v>
      </c>
      <c r="GQ10" s="268"/>
      <c r="GR10" s="268"/>
      <c r="GS10" s="268"/>
      <c r="GT10" s="268"/>
      <c r="GU10" s="268"/>
      <c r="GV10" s="268"/>
      <c r="GW10" s="268">
        <f>2+2</f>
        <v>4</v>
      </c>
      <c r="GX10" s="268"/>
      <c r="GY10" s="268">
        <f>3+1</f>
        <v>4</v>
      </c>
      <c r="GZ10" s="268"/>
      <c r="HA10" s="268"/>
      <c r="HB10" s="268"/>
      <c r="HC10" s="268"/>
      <c r="HD10" s="268"/>
      <c r="HE10" s="268"/>
      <c r="HF10" s="268"/>
      <c r="HG10" s="268"/>
      <c r="HH10" s="268"/>
      <c r="HI10" s="268"/>
      <c r="HJ10" s="268"/>
      <c r="HK10" s="268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268"/>
      <c r="IA10" s="268"/>
      <c r="IB10" s="268"/>
      <c r="IC10" s="268"/>
      <c r="ID10" s="268">
        <f>3+6</f>
        <v>9</v>
      </c>
      <c r="IE10" s="268"/>
      <c r="IF10" s="268">
        <f>3+6</f>
        <v>9</v>
      </c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268"/>
      <c r="JH10" s="268">
        <f>(2+2)*1.2</f>
        <v>4.8</v>
      </c>
      <c r="JI10" s="268">
        <v>2</v>
      </c>
      <c r="JJ10" s="268"/>
      <c r="JK10" s="268"/>
      <c r="JL10" s="268"/>
      <c r="JM10" s="268"/>
      <c r="JN10" s="268">
        <v>0</v>
      </c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268"/>
      <c r="KC10" s="268"/>
      <c r="KD10" s="268">
        <f>2+0</f>
        <v>2</v>
      </c>
      <c r="KE10" s="268"/>
      <c r="KF10" s="268"/>
      <c r="KG10" s="268"/>
      <c r="KH10" s="268">
        <v>4</v>
      </c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</row>
    <row r="11" spans="1:318" s="55" customFormat="1" ht="18" customHeight="1" x14ac:dyDescent="0.25">
      <c r="A11" s="14"/>
      <c r="B11" s="13"/>
      <c r="C11" s="1"/>
      <c r="D11" t="s">
        <v>179</v>
      </c>
      <c r="E11" s="1">
        <v>11516</v>
      </c>
      <c r="F11" s="1">
        <v>2015</v>
      </c>
      <c r="G11"/>
      <c r="H11" s="1">
        <f>SUM(J11:LL11)</f>
        <v>37</v>
      </c>
      <c r="I11" s="14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>
        <f>3+2</f>
        <v>5</v>
      </c>
      <c r="ER11"/>
      <c r="ES11"/>
      <c r="ET11">
        <f>2+0</f>
        <v>2</v>
      </c>
      <c r="EU11"/>
      <c r="EV11"/>
      <c r="EW11"/>
      <c r="EX11"/>
      <c r="EY11">
        <f>3+4</f>
        <v>7</v>
      </c>
      <c r="EZ11"/>
      <c r="FA11"/>
      <c r="FB11"/>
      <c r="FC11"/>
      <c r="FD11"/>
      <c r="FE11"/>
      <c r="FF11"/>
      <c r="FG11" s="264">
        <f>3+1</f>
        <v>4</v>
      </c>
      <c r="FH11" s="264">
        <v>3</v>
      </c>
      <c r="FI11" s="268"/>
      <c r="FJ11" s="268"/>
      <c r="FK11" s="268"/>
      <c r="FL11" s="264"/>
      <c r="FM11" s="268"/>
      <c r="FN11" s="268"/>
      <c r="FO11" s="264"/>
      <c r="FP11" s="268"/>
      <c r="FQ11" s="268"/>
      <c r="FR11" s="268"/>
      <c r="FS11" s="268"/>
      <c r="FT11" s="268"/>
      <c r="FU11" s="268"/>
      <c r="FV11" s="268"/>
      <c r="FW11" s="268"/>
      <c r="FX11" s="268"/>
      <c r="FY11" s="268"/>
      <c r="FZ11" s="268"/>
      <c r="GA11" s="268"/>
      <c r="GB11" s="268"/>
      <c r="GC11" s="268"/>
      <c r="GD11" s="264"/>
      <c r="GE11" s="268"/>
      <c r="GF11" s="268">
        <f>2+2</f>
        <v>4</v>
      </c>
      <c r="GG11" s="268">
        <v>0</v>
      </c>
      <c r="GH11" s="268"/>
      <c r="GI11" s="268"/>
      <c r="GJ11" s="268"/>
      <c r="GK11" s="268"/>
      <c r="GL11" s="268"/>
      <c r="GM11" s="268">
        <f>3+2</f>
        <v>5</v>
      </c>
      <c r="GN11" s="268"/>
      <c r="GO11" s="268">
        <v>1</v>
      </c>
      <c r="GP11" s="268"/>
      <c r="GQ11" s="268"/>
      <c r="GR11" s="268"/>
      <c r="GS11" s="268"/>
      <c r="GT11" s="268"/>
      <c r="GU11" s="268"/>
      <c r="GV11" s="268"/>
      <c r="GW11" s="268">
        <v>1</v>
      </c>
      <c r="GX11" s="268">
        <f>2+3</f>
        <v>5</v>
      </c>
      <c r="GY11" s="268"/>
      <c r="GZ11" s="268"/>
      <c r="HA11" s="268"/>
      <c r="HB11" s="268"/>
      <c r="HC11" s="268"/>
      <c r="HD11" s="268"/>
      <c r="HE11" s="268"/>
      <c r="HF11" s="268"/>
      <c r="HG11" s="268"/>
      <c r="HH11" s="268"/>
      <c r="HI11" s="268"/>
      <c r="HJ11" s="268"/>
      <c r="HK11" s="268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</row>
    <row r="12" spans="1:318" s="55" customFormat="1" ht="18" customHeight="1" x14ac:dyDescent="0.25">
      <c r="A12" s="14">
        <v>3</v>
      </c>
      <c r="B12" s="13" t="s">
        <v>393</v>
      </c>
      <c r="C12" s="1">
        <v>8039</v>
      </c>
      <c r="D12" t="s">
        <v>394</v>
      </c>
      <c r="E12" s="1">
        <v>10251</v>
      </c>
      <c r="F12" s="1">
        <v>2010</v>
      </c>
      <c r="G12" t="s">
        <v>206</v>
      </c>
      <c r="H12" s="1">
        <f>SUM(J12:LL12)</f>
        <v>34</v>
      </c>
      <c r="I12" s="14">
        <f>Tabuľka1[[#This Row],[Stĺpec80]]+FP13+Tabuľka1[[#This Row],[Stĺpec173]]+FW13+FX13+Tabuľka1[[#This Row],[Stĺpec245]]+JH13+Tabuľka1[[#This Row],[Stĺpec244]]+JI13+Tabuľka1[[#This Row],[Stĺpec304]]+JN13+Tabuľka1[[#This Row],[Stĺpec303]]+JO13+Tabuľka1[[#This Row],[Stĺpec296]]+JV13</f>
        <v>69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>
        <v>4</v>
      </c>
      <c r="CL12" s="1"/>
      <c r="CM12" s="1">
        <v>0</v>
      </c>
      <c r="CN12" s="1"/>
      <c r="CO12" s="1"/>
      <c r="CP12" s="1"/>
      <c r="CQ12" s="1">
        <v>0</v>
      </c>
      <c r="CR12" s="1"/>
      <c r="CS12" s="1">
        <v>0</v>
      </c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268"/>
      <c r="FH12" s="268"/>
      <c r="FI12" s="268"/>
      <c r="FJ12" s="268"/>
      <c r="FK12" s="268"/>
      <c r="FL12" s="264"/>
      <c r="FM12" s="268"/>
      <c r="FN12" s="268"/>
      <c r="FO12" s="264"/>
      <c r="FP12" s="268"/>
      <c r="FQ12" s="264">
        <f>3+4</f>
        <v>7</v>
      </c>
      <c r="FR12" s="268"/>
      <c r="FS12" s="268"/>
      <c r="FT12" s="268"/>
      <c r="FU12" s="268"/>
      <c r="FV12" s="268"/>
      <c r="FW12" s="268"/>
      <c r="FX12" s="268"/>
      <c r="FY12" s="268"/>
      <c r="FZ12" s="268"/>
      <c r="GA12" s="268"/>
      <c r="GB12" s="268"/>
      <c r="GC12" s="268"/>
      <c r="GD12" s="264"/>
      <c r="GE12" s="268"/>
      <c r="GF12" s="268"/>
      <c r="GG12" s="268"/>
      <c r="GH12" s="268"/>
      <c r="GI12" s="268"/>
      <c r="GJ12" s="268"/>
      <c r="GK12" s="268"/>
      <c r="GL12" s="268"/>
      <c r="GM12" s="268"/>
      <c r="GN12" s="268"/>
      <c r="GO12" s="268"/>
      <c r="GP12" s="268"/>
      <c r="GQ12" s="268"/>
      <c r="GR12" s="268"/>
      <c r="GS12" s="268"/>
      <c r="GT12" s="268"/>
      <c r="GU12" s="268"/>
      <c r="GV12" s="268"/>
      <c r="GW12" s="268"/>
      <c r="GX12" s="268"/>
      <c r="GY12" s="268"/>
      <c r="GZ12" s="268"/>
      <c r="HA12" s="268"/>
      <c r="HB12" s="268"/>
      <c r="HC12" s="268"/>
      <c r="HD12" s="268"/>
      <c r="HE12" s="268"/>
      <c r="HF12" s="268"/>
      <c r="HG12" s="268"/>
      <c r="HH12" s="268"/>
      <c r="HI12" s="268"/>
      <c r="HJ12" s="268"/>
      <c r="HK12" s="268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>
        <v>5</v>
      </c>
      <c r="JI12" s="1">
        <v>2</v>
      </c>
      <c r="JJ12" s="1"/>
      <c r="JK12" s="1"/>
      <c r="JL12" s="1"/>
      <c r="JM12" s="1"/>
      <c r="JN12" s="1">
        <f>2+1</f>
        <v>3</v>
      </c>
      <c r="JO12" s="1">
        <v>6</v>
      </c>
      <c r="JP12" s="1"/>
      <c r="JQ12" s="1"/>
      <c r="JR12" s="1"/>
      <c r="JS12" s="1"/>
      <c r="JT12" s="1">
        <v>0</v>
      </c>
      <c r="JU12" s="1"/>
      <c r="JV12" s="1">
        <v>7</v>
      </c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</row>
    <row r="13" spans="1:318" s="55" customFormat="1" ht="18" customHeight="1" x14ac:dyDescent="0.25">
      <c r="A13" s="14"/>
      <c r="B13" s="13"/>
      <c r="C13" s="1"/>
      <c r="D13" s="264" t="s">
        <v>395</v>
      </c>
      <c r="E13" s="270">
        <v>10031</v>
      </c>
      <c r="F13" s="270">
        <v>2003</v>
      </c>
      <c r="G13"/>
      <c r="H13" s="1">
        <f>SUM(J13:LL13)</f>
        <v>37</v>
      </c>
      <c r="I13" s="14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268"/>
      <c r="FH13" s="268"/>
      <c r="FI13" s="268"/>
      <c r="FJ13" s="268"/>
      <c r="FK13" s="268"/>
      <c r="FL13" s="264"/>
      <c r="FM13" s="268"/>
      <c r="FN13" s="268"/>
      <c r="FO13" s="264"/>
      <c r="FP13" s="264">
        <v>2</v>
      </c>
      <c r="FQ13" s="268"/>
      <c r="FR13" s="268"/>
      <c r="FS13" s="268"/>
      <c r="FT13" s="268"/>
      <c r="FU13" s="268"/>
      <c r="FV13" s="268"/>
      <c r="FW13" s="264">
        <f t="shared" ref="FW13:FX13" si="0">3+2</f>
        <v>5</v>
      </c>
      <c r="FX13" s="264">
        <f t="shared" si="0"/>
        <v>5</v>
      </c>
      <c r="FY13" s="268"/>
      <c r="FZ13" s="268"/>
      <c r="GA13" s="268"/>
      <c r="GB13" s="268"/>
      <c r="GC13" s="268"/>
      <c r="GD13" s="264"/>
      <c r="GE13" s="268"/>
      <c r="GF13" s="268"/>
      <c r="GG13" s="268"/>
      <c r="GH13" s="268"/>
      <c r="GI13" s="268"/>
      <c r="GJ13" s="268"/>
      <c r="GK13" s="268"/>
      <c r="GL13" s="268"/>
      <c r="GM13" s="268"/>
      <c r="GN13" s="268"/>
      <c r="GO13" s="268"/>
      <c r="GP13" s="268"/>
      <c r="GQ13" s="268"/>
      <c r="GR13" s="268"/>
      <c r="GS13" s="268"/>
      <c r="GT13" s="268"/>
      <c r="GU13" s="268"/>
      <c r="GV13" s="268"/>
      <c r="GW13" s="268"/>
      <c r="GX13" s="268"/>
      <c r="GY13" s="268"/>
      <c r="GZ13" s="268"/>
      <c r="HA13" s="268"/>
      <c r="HB13" s="268"/>
      <c r="HC13" s="268"/>
      <c r="HD13" s="268"/>
      <c r="HE13" s="268"/>
      <c r="HF13" s="268"/>
      <c r="HG13" s="268"/>
      <c r="HH13" s="268"/>
      <c r="HI13" s="268"/>
      <c r="HJ13" s="268"/>
      <c r="HK13" s="268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>
        <v>2</v>
      </c>
      <c r="JI13" s="1">
        <v>7</v>
      </c>
      <c r="JJ13" s="1"/>
      <c r="JK13" s="1"/>
      <c r="JL13" s="1"/>
      <c r="JM13" s="1"/>
      <c r="JN13" s="1">
        <f>3+2</f>
        <v>5</v>
      </c>
      <c r="JO13" s="1">
        <v>4</v>
      </c>
      <c r="JP13" s="1"/>
      <c r="JQ13" s="1"/>
      <c r="JR13" s="1"/>
      <c r="JS13" s="1"/>
      <c r="JT13" s="1">
        <v>2</v>
      </c>
      <c r="JU13" s="1"/>
      <c r="JV13" s="1">
        <v>5</v>
      </c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</row>
    <row r="14" spans="1:318" s="55" customFormat="1" ht="18" customHeight="1" x14ac:dyDescent="0.25">
      <c r="A14" s="14">
        <v>4</v>
      </c>
      <c r="B14" s="13" t="s">
        <v>398</v>
      </c>
      <c r="C14" s="1">
        <v>8604</v>
      </c>
      <c r="D14" t="s">
        <v>399</v>
      </c>
      <c r="E14" s="1">
        <v>9547</v>
      </c>
      <c r="F14" s="1"/>
      <c r="G14" t="s">
        <v>137</v>
      </c>
      <c r="H14" s="1">
        <f>SUM(J14:LL14)</f>
        <v>8</v>
      </c>
      <c r="I14" s="14">
        <f>SUM(H14:H15)</f>
        <v>25</v>
      </c>
      <c r="J14" s="1">
        <v>0</v>
      </c>
      <c r="K14" s="1">
        <v>2</v>
      </c>
      <c r="L14" s="1"/>
      <c r="M14" s="1"/>
      <c r="N14" s="1"/>
      <c r="O14" s="1"/>
      <c r="P14" s="1"/>
      <c r="Q14" s="1">
        <v>0</v>
      </c>
      <c r="R14" s="1">
        <v>0</v>
      </c>
      <c r="S14" s="1"/>
      <c r="T14" s="1"/>
      <c r="U14" s="1"/>
      <c r="V14" s="1"/>
      <c r="W14" s="1"/>
      <c r="X14" s="1">
        <v>0</v>
      </c>
      <c r="Y14" s="1"/>
      <c r="Z14" s="1"/>
      <c r="AA14" s="1"/>
      <c r="AB14" s="1"/>
      <c r="AC14" s="1">
        <v>0</v>
      </c>
      <c r="AD14" s="1"/>
      <c r="AE14" s="1"/>
      <c r="AF14" s="1"/>
      <c r="AG14" s="1">
        <v>2</v>
      </c>
      <c r="AH14" s="1">
        <v>0</v>
      </c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>
        <v>0</v>
      </c>
      <c r="AW14" s="1">
        <v>4</v>
      </c>
      <c r="AX14" s="1"/>
      <c r="AY14" s="1"/>
      <c r="AZ14" s="1"/>
      <c r="BA14" s="1"/>
      <c r="BB14" s="1"/>
      <c r="BC14" s="1"/>
      <c r="BD14" s="1">
        <v>0</v>
      </c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</row>
    <row r="15" spans="1:318" s="55" customFormat="1" ht="18" customHeight="1" x14ac:dyDescent="0.25">
      <c r="A15" s="14"/>
      <c r="B15" s="13"/>
      <c r="C15" s="1"/>
      <c r="D15" t="s">
        <v>311</v>
      </c>
      <c r="E15" s="1">
        <v>8781</v>
      </c>
      <c r="F15" s="1">
        <v>2010</v>
      </c>
      <c r="G15"/>
      <c r="H15" s="1">
        <f>SUM(J15:LL15)</f>
        <v>17</v>
      </c>
      <c r="I15" s="14"/>
      <c r="J15" s="1"/>
      <c r="K15" s="1"/>
      <c r="L15" s="1"/>
      <c r="M15" s="1"/>
      <c r="N15" s="1">
        <v>3</v>
      </c>
      <c r="O15" s="1"/>
      <c r="P15" s="1"/>
      <c r="Q15" s="1"/>
      <c r="R15" s="1"/>
      <c r="S15" s="1"/>
      <c r="T15" s="1"/>
      <c r="U15" s="1">
        <v>3</v>
      </c>
      <c r="V15" s="1"/>
      <c r="W15" s="1"/>
      <c r="X15" s="1"/>
      <c r="Y15" s="1"/>
      <c r="Z15" s="1"/>
      <c r="AA15" s="1">
        <v>0</v>
      </c>
      <c r="AB15" s="1"/>
      <c r="AC15" s="1"/>
      <c r="AD15" s="1"/>
      <c r="AE15" s="1"/>
      <c r="AF15" s="1"/>
      <c r="AG15" s="1"/>
      <c r="AH15" s="1"/>
      <c r="AI15" s="1"/>
      <c r="AJ15" s="1"/>
      <c r="AK15" s="1">
        <v>3</v>
      </c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268"/>
      <c r="JH15" s="268">
        <v>0</v>
      </c>
      <c r="JI15" s="268"/>
      <c r="JJ15" s="268"/>
      <c r="JK15" s="268"/>
      <c r="JL15" s="268"/>
      <c r="JM15" s="268"/>
      <c r="JN15" s="268">
        <v>0</v>
      </c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268"/>
      <c r="KV15" s="268"/>
      <c r="KW15" s="268"/>
      <c r="KX15" s="268">
        <v>3</v>
      </c>
      <c r="KY15" s="268"/>
      <c r="KZ15" s="268"/>
      <c r="LA15" s="268"/>
      <c r="LB15" s="268"/>
      <c r="LC15" s="268"/>
      <c r="LD15" s="268">
        <f>3+2</f>
        <v>5</v>
      </c>
      <c r="LE15" s="1"/>
      <c r="LF15" s="1"/>
    </row>
    <row r="16" spans="1:318" s="55" customFormat="1" ht="18" customHeight="1" x14ac:dyDescent="0.25">
      <c r="A16" s="14"/>
      <c r="B16" s="13" t="s">
        <v>396</v>
      </c>
      <c r="C16" s="1">
        <v>10993</v>
      </c>
      <c r="D16" t="s">
        <v>397</v>
      </c>
      <c r="E16" s="1">
        <v>10993</v>
      </c>
      <c r="F16" s="1"/>
      <c r="G16" t="s">
        <v>146</v>
      </c>
      <c r="H16" s="1">
        <f>SUM(J16:LL16)</f>
        <v>25</v>
      </c>
      <c r="I16" s="14">
        <f>Tabuľka1[[#This Row],[Stĺpec8]]</f>
        <v>25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>
        <f>2</f>
        <v>2</v>
      </c>
      <c r="ER16"/>
      <c r="ES16"/>
      <c r="ET16">
        <v>0</v>
      </c>
      <c r="EU16"/>
      <c r="EV16"/>
      <c r="EW16"/>
      <c r="EX16"/>
      <c r="EY16">
        <f>2+1</f>
        <v>3</v>
      </c>
      <c r="EZ16" s="1"/>
      <c r="FA16" s="1"/>
      <c r="FB16" s="1"/>
      <c r="FC16" s="1"/>
      <c r="FD16" s="1"/>
      <c r="FE16" s="1"/>
      <c r="FF16" s="1"/>
      <c r="FG16" s="268"/>
      <c r="FH16" s="268"/>
      <c r="FI16" s="268"/>
      <c r="FJ16" s="268"/>
      <c r="FK16" s="268"/>
      <c r="FL16" s="264"/>
      <c r="FM16" s="268"/>
      <c r="FN16" s="268"/>
      <c r="FO16" s="264"/>
      <c r="FP16" s="268"/>
      <c r="FQ16" s="268"/>
      <c r="FR16" s="268"/>
      <c r="FS16" s="268"/>
      <c r="FT16" s="268"/>
      <c r="FU16" s="268"/>
      <c r="FV16" s="268"/>
      <c r="FW16" s="268"/>
      <c r="FX16" s="268"/>
      <c r="FY16" s="268"/>
      <c r="FZ16" s="268"/>
      <c r="GA16" s="268"/>
      <c r="GB16" s="268"/>
      <c r="GC16" s="268"/>
      <c r="GD16" s="264"/>
      <c r="GE16" s="268">
        <f>3+1</f>
        <v>4</v>
      </c>
      <c r="GF16" s="268"/>
      <c r="GG16" s="268">
        <v>1</v>
      </c>
      <c r="GH16" s="268"/>
      <c r="GI16" s="268"/>
      <c r="GJ16" s="268"/>
      <c r="GK16" s="268"/>
      <c r="GL16" s="268"/>
      <c r="GM16" s="268">
        <v>2</v>
      </c>
      <c r="GN16" s="268"/>
      <c r="GO16" s="268"/>
      <c r="GP16" s="268"/>
      <c r="GQ16" s="268"/>
      <c r="GR16" s="268"/>
      <c r="GS16" s="268"/>
      <c r="GT16" s="268"/>
      <c r="GU16" s="268"/>
      <c r="GV16" s="268">
        <f>3+2</f>
        <v>5</v>
      </c>
      <c r="GW16" s="268">
        <v>1</v>
      </c>
      <c r="GX16" s="268"/>
      <c r="GY16" s="268"/>
      <c r="GZ16" s="268"/>
      <c r="HA16" s="268"/>
      <c r="HB16" s="268"/>
      <c r="HC16" s="268"/>
      <c r="HD16" s="268"/>
      <c r="HE16" s="268"/>
      <c r="HF16" s="268"/>
      <c r="HG16" s="268"/>
      <c r="HH16" s="268"/>
      <c r="HI16" s="268"/>
      <c r="HJ16" s="268"/>
      <c r="HK16" s="268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268"/>
      <c r="JT16" s="268">
        <v>1</v>
      </c>
      <c r="JU16" s="268">
        <f>3+3</f>
        <v>6</v>
      </c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</row>
    <row r="17" spans="1:318" s="55" customFormat="1" ht="18" customHeight="1" x14ac:dyDescent="0.25">
      <c r="A17" s="14">
        <v>6</v>
      </c>
      <c r="B17" s="13" t="s">
        <v>400</v>
      </c>
      <c r="C17" s="1">
        <v>8840</v>
      </c>
      <c r="D17" t="s">
        <v>401</v>
      </c>
      <c r="E17" s="1"/>
      <c r="F17" s="1">
        <v>2003</v>
      </c>
      <c r="G17" t="s">
        <v>335</v>
      </c>
      <c r="H17" s="1">
        <f>SUM(J17:LL17)</f>
        <v>13</v>
      </c>
      <c r="I17" s="14">
        <f>H17</f>
        <v>13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268">
        <v>2</v>
      </c>
      <c r="IK17" s="268">
        <v>3</v>
      </c>
      <c r="IL17" s="268"/>
      <c r="IM17" s="268">
        <f>2+2</f>
        <v>4</v>
      </c>
      <c r="IN17" s="268">
        <v>2</v>
      </c>
      <c r="IO17" s="268"/>
      <c r="IP17" s="268"/>
      <c r="IQ17" s="268"/>
      <c r="IR17" s="268"/>
      <c r="IS17" s="268">
        <v>2</v>
      </c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</row>
    <row r="18" spans="1:318" s="55" customFormat="1" ht="18" customHeight="1" x14ac:dyDescent="0.25">
      <c r="A18" s="14">
        <v>7</v>
      </c>
      <c r="B18" s="13" t="s">
        <v>402</v>
      </c>
      <c r="C18" s="1">
        <v>8401</v>
      </c>
      <c r="D18" t="s">
        <v>403</v>
      </c>
      <c r="E18" s="1">
        <v>9925</v>
      </c>
      <c r="F18" s="1"/>
      <c r="G18" t="s">
        <v>404</v>
      </c>
      <c r="H18" s="1">
        <f>SUM(J18:LL18)</f>
        <v>11.2</v>
      </c>
      <c r="I18" s="14">
        <f>H18</f>
        <v>11.2</v>
      </c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4"/>
      <c r="X18" s="268"/>
      <c r="Y18" s="268"/>
      <c r="Z18" s="268"/>
      <c r="AA18" s="268"/>
      <c r="AB18" s="268"/>
      <c r="AC18" s="268"/>
      <c r="AD18" s="264"/>
      <c r="AE18" s="268"/>
      <c r="AF18" s="264"/>
      <c r="AG18" s="268"/>
      <c r="AH18" s="268"/>
      <c r="AI18" s="268"/>
      <c r="AJ18" s="268"/>
      <c r="AK18" s="268"/>
      <c r="AL18" s="268"/>
      <c r="AM18" s="268"/>
      <c r="AN18" s="264"/>
      <c r="AO18" s="268"/>
      <c r="AP18" s="268"/>
      <c r="AQ18" s="268"/>
      <c r="AR18" s="264"/>
      <c r="AS18" s="268"/>
      <c r="AT18" s="268"/>
      <c r="AU18" s="264"/>
      <c r="AV18" s="268"/>
      <c r="AW18" s="268"/>
      <c r="AX18" s="268"/>
      <c r="AY18" s="268"/>
      <c r="AZ18" s="264">
        <v>2</v>
      </c>
      <c r="BA18" s="268"/>
      <c r="BB18" s="268"/>
      <c r="BC18" s="268"/>
      <c r="BD18" s="268"/>
      <c r="BE18" s="268"/>
      <c r="BF18" s="268"/>
      <c r="BG18" s="268"/>
      <c r="BH18" s="268"/>
      <c r="BI18" s="264"/>
      <c r="BJ18" s="268"/>
      <c r="BK18" s="264"/>
      <c r="BL18" s="268"/>
      <c r="BM18" s="264"/>
      <c r="BN18" s="268"/>
      <c r="BO18" s="264"/>
      <c r="BP18" s="268"/>
      <c r="BQ18" s="268"/>
      <c r="BR18" s="268"/>
      <c r="BS18" s="268"/>
      <c r="BT18" s="268"/>
      <c r="BU18" s="264"/>
      <c r="BV18" s="264"/>
      <c r="BW18" s="268"/>
      <c r="BX18" s="264"/>
      <c r="BY18" s="268"/>
      <c r="BZ18" s="264"/>
      <c r="CA18" s="268"/>
      <c r="CB18" s="264"/>
      <c r="CC18" s="264"/>
      <c r="CD18" s="268"/>
      <c r="CE18" s="268"/>
      <c r="CF18" s="268"/>
      <c r="CG18" s="268"/>
      <c r="CH18" s="264"/>
      <c r="CI18" s="264"/>
      <c r="CJ18" s="268"/>
      <c r="CK18" s="268"/>
      <c r="CL18" s="268"/>
      <c r="CM18" s="268"/>
      <c r="CN18" s="268"/>
      <c r="CO18" s="268"/>
      <c r="CP18" s="268"/>
      <c r="CQ18" s="268"/>
      <c r="CR18" s="268"/>
      <c r="CS18" s="268"/>
      <c r="CT18" s="268"/>
      <c r="CU18" s="268"/>
      <c r="CV18" s="268"/>
      <c r="CW18" s="268"/>
      <c r="CX18" s="268"/>
      <c r="CY18" s="264"/>
      <c r="CZ18" s="268"/>
      <c r="DA18" s="264"/>
      <c r="DB18" s="268"/>
      <c r="DC18" s="268"/>
      <c r="DD18" s="268"/>
      <c r="DE18" s="268"/>
      <c r="DF18" s="268"/>
      <c r="DG18" s="268"/>
      <c r="DH18" s="264"/>
      <c r="DI18" s="268"/>
      <c r="DJ18" s="268"/>
      <c r="DK18" s="268"/>
      <c r="DL18" s="268"/>
      <c r="DM18" s="268"/>
      <c r="DN18" s="268"/>
      <c r="DO18" s="268"/>
      <c r="DP18" s="268"/>
      <c r="DQ18" s="268"/>
      <c r="DR18" s="268"/>
      <c r="DS18" s="268"/>
      <c r="DT18" s="268"/>
      <c r="DU18" s="268"/>
      <c r="DV18" s="268"/>
      <c r="DW18" s="268"/>
      <c r="DX18" s="264"/>
      <c r="DY18" s="264"/>
      <c r="DZ18" s="264"/>
      <c r="EA18" s="264"/>
      <c r="EB18" s="268"/>
      <c r="EC18" s="268"/>
      <c r="ED18" s="268"/>
      <c r="EE18" s="268"/>
      <c r="EF18" s="264">
        <v>3</v>
      </c>
      <c r="EG18" s="264">
        <v>3</v>
      </c>
      <c r="EH18" s="268"/>
      <c r="EI18" s="268"/>
      <c r="EJ18" s="268"/>
      <c r="EK18" s="268"/>
      <c r="EL18" s="268"/>
      <c r="EM18" s="268"/>
      <c r="EN18" s="268"/>
      <c r="EO18" s="264"/>
      <c r="EP18" s="264"/>
      <c r="EQ18" s="264"/>
      <c r="ER18" s="264"/>
      <c r="ES18" s="268"/>
      <c r="ET18" s="268"/>
      <c r="EU18" s="268"/>
      <c r="EV18" s="268"/>
      <c r="EW18" s="268"/>
      <c r="EX18" s="268"/>
      <c r="EY18" s="268"/>
      <c r="EZ18" s="268"/>
      <c r="FA18" s="268"/>
      <c r="FB18" s="268"/>
      <c r="FC18" s="268"/>
      <c r="FD18" s="268"/>
      <c r="FE18" s="268"/>
      <c r="FF18" s="268"/>
      <c r="FG18" s="268"/>
      <c r="FH18" s="264"/>
      <c r="FI18" s="268"/>
      <c r="FJ18" s="268"/>
      <c r="FK18" s="268"/>
      <c r="FL18" s="268"/>
      <c r="FM18" s="268"/>
      <c r="FN18" s="264"/>
      <c r="FO18" s="268"/>
      <c r="FP18" s="268"/>
      <c r="FQ18" s="264"/>
      <c r="FR18" s="268"/>
      <c r="FS18" s="268"/>
      <c r="FT18" s="268"/>
      <c r="FU18" s="268"/>
      <c r="FV18" s="268"/>
      <c r="FW18" s="268"/>
      <c r="FX18" s="268"/>
      <c r="FY18" s="268"/>
      <c r="FZ18" s="268"/>
      <c r="GA18" s="268"/>
      <c r="GB18" s="268"/>
      <c r="GC18" s="268"/>
      <c r="GD18" s="268"/>
      <c r="GE18" s="268"/>
      <c r="GF18" s="264"/>
      <c r="GG18" s="268"/>
      <c r="GH18" s="268"/>
      <c r="GI18" s="268">
        <v>2</v>
      </c>
      <c r="GJ18" s="268"/>
      <c r="GK18" s="268"/>
      <c r="GL18" s="268"/>
      <c r="GM18" s="268"/>
      <c r="GN18" s="268"/>
      <c r="GO18" s="268"/>
      <c r="GP18" s="268"/>
      <c r="GQ18" s="268"/>
      <c r="GR18" s="268"/>
      <c r="GS18" s="268"/>
      <c r="GT18" s="268"/>
      <c r="GU18" s="268"/>
      <c r="GV18" s="268"/>
      <c r="GW18" s="268"/>
      <c r="GX18" s="268"/>
      <c r="GY18" s="268"/>
      <c r="GZ18" s="268"/>
      <c r="HA18" s="268"/>
      <c r="HB18" s="268"/>
      <c r="HC18" s="268"/>
      <c r="HD18" s="268"/>
      <c r="HE18" s="268"/>
      <c r="HF18" s="268"/>
      <c r="HG18" s="268"/>
      <c r="HH18" s="268"/>
      <c r="HI18" s="268"/>
      <c r="HJ18" s="268"/>
      <c r="HK18" s="268"/>
      <c r="HL18" s="268"/>
      <c r="HM18" s="268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268"/>
      <c r="JH18" s="268">
        <v>0</v>
      </c>
      <c r="JI18" s="268"/>
      <c r="JJ18" s="268"/>
      <c r="JK18" s="268"/>
      <c r="JL18" s="268"/>
      <c r="JM18" s="268"/>
      <c r="JN18" s="268">
        <f>1*1.2</f>
        <v>1.2</v>
      </c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</row>
    <row r="19" spans="1:318" s="55" customFormat="1" ht="18" customHeight="1" x14ac:dyDescent="0.25">
      <c r="A19" s="14">
        <v>8</v>
      </c>
      <c r="B19" s="13" t="s">
        <v>405</v>
      </c>
      <c r="C19" s="1">
        <v>8650</v>
      </c>
      <c r="D19" t="s">
        <v>406</v>
      </c>
      <c r="E19" s="1">
        <v>11206</v>
      </c>
      <c r="F19" s="1"/>
      <c r="G19" t="s">
        <v>218</v>
      </c>
      <c r="H19" s="1">
        <f>SUM(J19:LL19)</f>
        <v>6</v>
      </c>
      <c r="I19" s="14">
        <f>H19</f>
        <v>6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>
        <v>2</v>
      </c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/>
      <c r="EB19">
        <v>0</v>
      </c>
      <c r="EC19"/>
      <c r="ED19"/>
      <c r="EE19">
        <v>2</v>
      </c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>
        <v>2</v>
      </c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268"/>
      <c r="JH19" s="268">
        <v>0</v>
      </c>
      <c r="JI19" s="268"/>
      <c r="JJ19" s="268"/>
      <c r="JK19" s="268"/>
      <c r="JL19" s="268"/>
      <c r="JM19" s="268"/>
      <c r="JN19" s="268">
        <v>0</v>
      </c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</row>
    <row r="20" spans="1:318" s="55" customFormat="1" ht="18" customHeight="1" x14ac:dyDescent="0.25">
      <c r="A20" s="14"/>
      <c r="B20" s="13" t="s">
        <v>412</v>
      </c>
      <c r="C20" s="1">
        <v>8827</v>
      </c>
      <c r="D20" t="s">
        <v>413</v>
      </c>
      <c r="E20" s="1">
        <v>8165</v>
      </c>
      <c r="F20" s="1"/>
      <c r="G20" t="s">
        <v>218</v>
      </c>
      <c r="H20" s="1">
        <f>SUM(J20:LL20)</f>
        <v>6</v>
      </c>
      <c r="I20" s="14">
        <f>H20</f>
        <v>6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>
        <v>1</v>
      </c>
      <c r="AX20" s="1"/>
      <c r="AY20" s="1"/>
      <c r="AZ20" s="1">
        <v>1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268"/>
      <c r="KC20" s="268">
        <v>1</v>
      </c>
      <c r="KD20" s="268"/>
      <c r="KE20" s="268"/>
      <c r="KF20" s="268"/>
      <c r="KG20" s="268">
        <v>3</v>
      </c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</row>
    <row r="21" spans="1:318" s="55" customFormat="1" ht="18" customHeight="1" x14ac:dyDescent="0.25">
      <c r="A21" s="14">
        <v>10</v>
      </c>
      <c r="B21" s="13" t="s">
        <v>477</v>
      </c>
      <c r="C21" s="1">
        <v>8051</v>
      </c>
      <c r="D21" t="s">
        <v>478</v>
      </c>
      <c r="E21" s="1">
        <v>8982</v>
      </c>
      <c r="F21" s="1"/>
      <c r="G21" t="s">
        <v>479</v>
      </c>
      <c r="H21" s="1">
        <f>SUM(J21:LL21)</f>
        <v>5</v>
      </c>
      <c r="I21" s="14">
        <f>H21</f>
        <v>5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274"/>
      <c r="JH21" s="274"/>
      <c r="JI21" s="274"/>
      <c r="JJ21" s="274"/>
      <c r="JK21" s="274"/>
      <c r="JL21" s="274"/>
      <c r="JM21" s="274"/>
      <c r="JN21" s="274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268"/>
      <c r="KV21" s="268"/>
      <c r="KW21" s="268"/>
      <c r="KX21" s="268"/>
      <c r="KY21" s="268"/>
      <c r="KZ21" s="268"/>
      <c r="LA21" s="268"/>
      <c r="LB21" s="268">
        <v>3</v>
      </c>
      <c r="LC21" s="268"/>
      <c r="LD21" s="268">
        <v>2</v>
      </c>
      <c r="LE21" s="1"/>
      <c r="LF21" s="1"/>
    </row>
    <row r="22" spans="1:318" s="55" customFormat="1" ht="18" customHeight="1" x14ac:dyDescent="0.25">
      <c r="A22" s="14"/>
      <c r="B22" s="13"/>
      <c r="C22" s="1"/>
      <c r="D22" t="s">
        <v>480</v>
      </c>
      <c r="E22" s="1">
        <v>7232</v>
      </c>
      <c r="F22" s="1"/>
      <c r="G22"/>
      <c r="H22" s="1">
        <f>SUM(J22:LL22)</f>
        <v>3</v>
      </c>
      <c r="I22" s="14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274"/>
      <c r="JH22" s="274"/>
      <c r="JI22" s="274"/>
      <c r="JJ22" s="274"/>
      <c r="JK22" s="274"/>
      <c r="JL22" s="274"/>
      <c r="JM22" s="274"/>
      <c r="JN22" s="274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268"/>
      <c r="KV22" s="268"/>
      <c r="KW22" s="268"/>
      <c r="KX22" s="268"/>
      <c r="KY22" s="268"/>
      <c r="KZ22" s="268"/>
      <c r="LA22" s="268"/>
      <c r="LB22" s="268">
        <v>2</v>
      </c>
      <c r="LC22" s="268"/>
      <c r="LD22" s="268">
        <v>1</v>
      </c>
      <c r="LE22" s="1"/>
      <c r="LF22" s="1"/>
    </row>
    <row r="23" spans="1:318" s="12" customFormat="1" ht="18" customHeight="1" x14ac:dyDescent="0.25">
      <c r="A23" s="14">
        <v>11</v>
      </c>
      <c r="B23" s="13" t="s">
        <v>407</v>
      </c>
      <c r="C23" s="1">
        <v>8547</v>
      </c>
      <c r="D23" t="s">
        <v>408</v>
      </c>
      <c r="E23" s="1">
        <v>5174</v>
      </c>
      <c r="F23" s="1">
        <v>2001</v>
      </c>
      <c r="G23" t="s">
        <v>335</v>
      </c>
      <c r="H23" s="1">
        <f>SUM(J23:LF23)</f>
        <v>4</v>
      </c>
      <c r="I23" s="14">
        <f>H23</f>
        <v>4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268">
        <v>1</v>
      </c>
      <c r="IK23" s="268">
        <v>0</v>
      </c>
      <c r="IL23" s="268"/>
      <c r="IM23" s="268">
        <v>1</v>
      </c>
      <c r="IN23" s="268">
        <v>1</v>
      </c>
      <c r="IO23" s="268"/>
      <c r="IP23" s="268"/>
      <c r="IQ23" s="268"/>
      <c r="IR23" s="268"/>
      <c r="IS23" s="268">
        <v>1</v>
      </c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</row>
    <row r="24" spans="1:318" s="55" customFormat="1" ht="18" customHeight="1" x14ac:dyDescent="0.25">
      <c r="A24" s="14">
        <v>12</v>
      </c>
      <c r="B24" s="13" t="s">
        <v>409</v>
      </c>
      <c r="C24" s="1">
        <v>8738</v>
      </c>
      <c r="D24" t="s">
        <v>410</v>
      </c>
      <c r="E24" s="1">
        <v>8533</v>
      </c>
      <c r="F24" s="1">
        <v>2005</v>
      </c>
      <c r="G24" t="s">
        <v>411</v>
      </c>
      <c r="H24" s="1">
        <f>SUM(J24:LL24)</f>
        <v>2</v>
      </c>
      <c r="I24" s="14">
        <f t="shared" ref="I24:I34" si="1">H24</f>
        <v>2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>
        <v>2</v>
      </c>
      <c r="AX24" s="1"/>
      <c r="AY24" s="1"/>
      <c r="AZ24" s="1">
        <v>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</row>
    <row r="25" spans="1:318" s="55" customFormat="1" ht="18" customHeight="1" x14ac:dyDescent="0.25">
      <c r="A25" s="14"/>
      <c r="B25" s="13" t="s">
        <v>474</v>
      </c>
      <c r="C25" s="1">
        <v>9002</v>
      </c>
      <c r="D25" t="s">
        <v>475</v>
      </c>
      <c r="E25" s="1">
        <v>6646</v>
      </c>
      <c r="F25" s="1"/>
      <c r="G25" t="s">
        <v>476</v>
      </c>
      <c r="H25" s="1">
        <f>SUM(J25:LL25)</f>
        <v>2</v>
      </c>
      <c r="I25" s="14">
        <f>H25</f>
        <v>2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268"/>
      <c r="KC25" s="268">
        <v>0</v>
      </c>
      <c r="KD25" s="268"/>
      <c r="KE25" s="268"/>
      <c r="KF25" s="268"/>
      <c r="KG25" s="268">
        <v>2</v>
      </c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</row>
    <row r="26" spans="1:318" s="55" customFormat="1" ht="18" customHeight="1" x14ac:dyDescent="0.25">
      <c r="A26" s="14">
        <v>14</v>
      </c>
      <c r="B26" s="13" t="s">
        <v>414</v>
      </c>
      <c r="C26" s="1">
        <v>8620</v>
      </c>
      <c r="D26" t="s">
        <v>415</v>
      </c>
      <c r="E26" s="1">
        <v>11380</v>
      </c>
      <c r="F26" s="1"/>
      <c r="G26" t="s">
        <v>404</v>
      </c>
      <c r="H26" s="1">
        <f>SUM(J26:LL26)</f>
        <v>1</v>
      </c>
      <c r="I26" s="14">
        <f>H26</f>
        <v>1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/>
      <c r="EB26"/>
      <c r="EC26"/>
      <c r="ED26"/>
      <c r="EE26">
        <v>1</v>
      </c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>
        <v>0</v>
      </c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268"/>
      <c r="JH26" s="268">
        <v>0</v>
      </c>
      <c r="JI26" s="268"/>
      <c r="JJ26" s="268"/>
      <c r="JK26" s="268"/>
      <c r="JL26" s="268"/>
      <c r="JM26" s="268"/>
      <c r="JN26" s="268">
        <v>0</v>
      </c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</row>
    <row r="27" spans="1:318" s="55" customFormat="1" ht="18" customHeight="1" x14ac:dyDescent="0.25">
      <c r="A27" s="14">
        <v>15</v>
      </c>
      <c r="B27" s="13" t="s">
        <v>416</v>
      </c>
      <c r="C27" s="1">
        <v>8575</v>
      </c>
      <c r="D27" t="s">
        <v>417</v>
      </c>
      <c r="E27" s="1">
        <v>11628</v>
      </c>
      <c r="F27" s="1">
        <v>2010</v>
      </c>
      <c r="G27" t="s">
        <v>160</v>
      </c>
      <c r="H27" s="1">
        <f>SUM(J27:LL27)</f>
        <v>0</v>
      </c>
      <c r="I27" s="14">
        <f>H27</f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274"/>
      <c r="JH27" s="274"/>
      <c r="JI27" s="274"/>
      <c r="JJ27" s="274"/>
      <c r="JK27" s="274"/>
      <c r="JL27" s="274"/>
      <c r="JM27" s="274"/>
      <c r="JN27" s="274"/>
      <c r="JO27" s="1"/>
      <c r="JP27" s="1"/>
      <c r="JQ27" s="1"/>
      <c r="JR27" s="1"/>
      <c r="JS27" s="1"/>
      <c r="JT27" s="1">
        <v>0</v>
      </c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</row>
    <row r="28" spans="1:318" s="55" customFormat="1" ht="18" customHeight="1" x14ac:dyDescent="0.25">
      <c r="A28" s="14"/>
      <c r="B28" s="13" t="s">
        <v>418</v>
      </c>
      <c r="C28" s="1">
        <v>8621</v>
      </c>
      <c r="D28" t="s">
        <v>419</v>
      </c>
      <c r="E28" s="1">
        <v>10888</v>
      </c>
      <c r="F28" s="1"/>
      <c r="G28" t="s">
        <v>404</v>
      </c>
      <c r="H28" s="1">
        <f>SUM(J28:LL28)</f>
        <v>0</v>
      </c>
      <c r="I28" s="14">
        <f t="shared" si="1"/>
        <v>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>
        <v>0</v>
      </c>
      <c r="EB28"/>
      <c r="EC28"/>
      <c r="ED28"/>
      <c r="EE28"/>
      <c r="EF28"/>
      <c r="EG28"/>
      <c r="EH28"/>
      <c r="EI28"/>
      <c r="EJ28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</row>
    <row r="29" spans="1:318" s="55" customFormat="1" ht="18" customHeight="1" x14ac:dyDescent="0.25">
      <c r="A29" s="14"/>
      <c r="B29" s="13"/>
      <c r="C29" s="1"/>
      <c r="D29" t="s">
        <v>420</v>
      </c>
      <c r="E29" s="1">
        <v>5271</v>
      </c>
      <c r="F29" s="1"/>
      <c r="G29"/>
      <c r="H29" s="1">
        <f>SUM(J29:LL29)</f>
        <v>0</v>
      </c>
      <c r="I29" s="14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/>
      <c r="EB29"/>
      <c r="EC29"/>
      <c r="ED29"/>
      <c r="EE29">
        <v>0</v>
      </c>
      <c r="EF29"/>
      <c r="EG29"/>
      <c r="EH29"/>
      <c r="EI29"/>
      <c r="EJ29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</row>
    <row r="30" spans="1:318" s="55" customFormat="1" ht="18" customHeight="1" x14ac:dyDescent="0.25">
      <c r="A30" s="14"/>
      <c r="B30" s="13" t="s">
        <v>421</v>
      </c>
      <c r="C30" s="1">
        <v>8399</v>
      </c>
      <c r="D30" t="s">
        <v>419</v>
      </c>
      <c r="E30" s="1">
        <v>10888</v>
      </c>
      <c r="F30" s="1"/>
      <c r="G30" t="s">
        <v>404</v>
      </c>
      <c r="H30" s="1">
        <f>SUM(J30:LL30)</f>
        <v>0</v>
      </c>
      <c r="I30" s="14">
        <f t="shared" si="1"/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/>
      <c r="EB30">
        <v>0</v>
      </c>
      <c r="EC30"/>
      <c r="ED30"/>
      <c r="EE30"/>
      <c r="EF30"/>
      <c r="EG30"/>
      <c r="EH30"/>
      <c r="EI30"/>
      <c r="EJ30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</row>
    <row r="31" spans="1:318" s="55" customFormat="1" ht="18" customHeight="1" x14ac:dyDescent="0.25">
      <c r="A31" s="14"/>
      <c r="B31" s="13"/>
      <c r="C31" s="1"/>
      <c r="D31" t="s">
        <v>420</v>
      </c>
      <c r="E31" s="1">
        <v>5271</v>
      </c>
      <c r="F31" s="1"/>
      <c r="G31"/>
      <c r="H31" s="1">
        <f>SUM(J31:LL31)</f>
        <v>0</v>
      </c>
      <c r="I31" s="14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/>
      <c r="EB31"/>
      <c r="EC31"/>
      <c r="ED31"/>
      <c r="EE31">
        <v>0</v>
      </c>
      <c r="EF31"/>
      <c r="EG31"/>
      <c r="EH31"/>
      <c r="EI31"/>
      <c r="EJ3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</row>
    <row r="32" spans="1:318" s="55" customFormat="1" ht="18" customHeight="1" x14ac:dyDescent="0.25">
      <c r="A32" s="14"/>
      <c r="B32" s="13" t="s">
        <v>422</v>
      </c>
      <c r="C32" s="1">
        <v>9009</v>
      </c>
      <c r="D32" t="s">
        <v>389</v>
      </c>
      <c r="E32" s="1">
        <v>9541</v>
      </c>
      <c r="F32" s="1"/>
      <c r="G32" t="s">
        <v>146</v>
      </c>
      <c r="H32" s="1">
        <f>SUM(J32:LL32)</f>
        <v>0</v>
      </c>
      <c r="I32" s="14">
        <f t="shared" si="1"/>
        <v>0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/>
      <c r="EB32"/>
      <c r="EC32"/>
      <c r="ED32"/>
      <c r="EE32"/>
      <c r="EF32"/>
      <c r="EG32"/>
      <c r="EH32">
        <v>0</v>
      </c>
      <c r="EI32"/>
      <c r="EJ32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</row>
    <row r="33" spans="1:318" s="55" customFormat="1" ht="18" customHeight="1" x14ac:dyDescent="0.25">
      <c r="A33" s="14"/>
      <c r="B33" s="13" t="s">
        <v>423</v>
      </c>
      <c r="C33" s="1">
        <v>8872</v>
      </c>
      <c r="D33" t="s">
        <v>424</v>
      </c>
      <c r="E33" s="1">
        <v>11400</v>
      </c>
      <c r="F33" s="1"/>
      <c r="G33" t="s">
        <v>137</v>
      </c>
      <c r="H33" s="1">
        <f>SUM(J33:LL33)</f>
        <v>0</v>
      </c>
      <c r="I33" s="14">
        <f>H33</f>
        <v>0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>
        <v>0</v>
      </c>
      <c r="Y33" s="1"/>
      <c r="Z33" s="1"/>
      <c r="AA33" s="1"/>
      <c r="AB33" s="1"/>
      <c r="AC33" s="1">
        <v>0</v>
      </c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</row>
    <row r="34" spans="1:318" s="55" customFormat="1" ht="18" customHeight="1" x14ac:dyDescent="0.25">
      <c r="A34" s="14"/>
      <c r="B34" s="13" t="s">
        <v>425</v>
      </c>
      <c r="C34" s="1">
        <v>8952</v>
      </c>
      <c r="D34" t="s">
        <v>329</v>
      </c>
      <c r="E34" s="1">
        <v>10096</v>
      </c>
      <c r="F34" s="1"/>
      <c r="G34" t="s">
        <v>426</v>
      </c>
      <c r="H34" s="1">
        <f>SUM(J34:LF34)</f>
        <v>0</v>
      </c>
      <c r="I34" s="14">
        <f t="shared" si="1"/>
        <v>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/>
      <c r="EB34"/>
      <c r="EC34"/>
      <c r="ED34"/>
      <c r="EE34"/>
      <c r="EF34"/>
      <c r="EG34"/>
      <c r="EH34"/>
      <c r="EI34">
        <v>0</v>
      </c>
      <c r="EJ34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</row>
    <row r="35" spans="1:318" s="246" customFormat="1" ht="18" customHeight="1" x14ac:dyDescent="0.25">
      <c r="A35" s="238">
        <v>20</v>
      </c>
      <c r="B35" s="244" t="s">
        <v>265</v>
      </c>
      <c r="C35" s="240"/>
      <c r="D35" s="242"/>
      <c r="E35" s="240"/>
      <c r="F35" s="240"/>
      <c r="G35" s="242"/>
      <c r="H35" s="240"/>
      <c r="I35" s="238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  <c r="BF35" s="240"/>
      <c r="BG35" s="240"/>
      <c r="BH35" s="240"/>
      <c r="BI35" s="240"/>
      <c r="BJ35" s="240"/>
      <c r="BK35" s="240"/>
      <c r="BL35" s="240"/>
      <c r="BM35" s="240"/>
      <c r="BN35" s="240"/>
      <c r="BO35" s="240"/>
      <c r="BP35" s="240"/>
      <c r="BQ35" s="240"/>
      <c r="BR35" s="240"/>
      <c r="BS35" s="240"/>
      <c r="BT35" s="240"/>
      <c r="BU35" s="240"/>
      <c r="BV35" s="240"/>
      <c r="BW35" s="240"/>
      <c r="BX35" s="240"/>
      <c r="BY35" s="240"/>
      <c r="BZ35" s="240"/>
      <c r="CA35" s="240"/>
      <c r="CB35" s="240"/>
      <c r="CC35" s="240"/>
      <c r="CD35" s="240"/>
      <c r="CE35" s="240"/>
      <c r="CF35" s="240"/>
      <c r="CG35" s="240"/>
      <c r="CH35" s="240"/>
      <c r="CI35" s="240"/>
      <c r="CJ35" s="240"/>
      <c r="CK35" s="240"/>
      <c r="CL35" s="240"/>
      <c r="CM35" s="240"/>
      <c r="CN35" s="240"/>
      <c r="CO35" s="240"/>
      <c r="CP35" s="240"/>
      <c r="CQ35" s="240"/>
      <c r="CR35" s="240"/>
      <c r="CS35" s="240"/>
      <c r="CT35" s="240"/>
      <c r="CU35" s="240"/>
      <c r="CV35" s="240"/>
      <c r="CW35" s="240"/>
      <c r="CX35" s="240"/>
      <c r="CY35" s="240"/>
      <c r="CZ35" s="240"/>
      <c r="DA35" s="240"/>
      <c r="DB35" s="240"/>
      <c r="DC35" s="240"/>
      <c r="DD35" s="240"/>
      <c r="DE35" s="240"/>
      <c r="DF35" s="240"/>
      <c r="DG35" s="240"/>
      <c r="DH35" s="240"/>
      <c r="DI35" s="240"/>
      <c r="DJ35" s="240"/>
      <c r="DK35" s="240"/>
      <c r="DL35" s="240"/>
      <c r="DM35" s="240"/>
      <c r="DN35" s="240"/>
      <c r="DO35" s="240"/>
      <c r="DP35" s="240"/>
      <c r="DQ35" s="240"/>
      <c r="DR35" s="240"/>
      <c r="DS35" s="240"/>
      <c r="DT35" s="240"/>
      <c r="DU35" s="240"/>
      <c r="DV35" s="240"/>
      <c r="DW35" s="240"/>
      <c r="DX35" s="240"/>
      <c r="DY35" s="240"/>
      <c r="DZ35" s="240"/>
      <c r="EA35" s="240"/>
      <c r="EB35" s="240"/>
      <c r="EC35" s="240"/>
      <c r="ED35" s="240"/>
      <c r="EE35" s="240"/>
      <c r="EF35" s="240"/>
      <c r="EG35" s="240"/>
      <c r="EH35" s="240"/>
      <c r="EI35" s="240"/>
      <c r="EJ35" s="240"/>
      <c r="EK35" s="240"/>
      <c r="EL35" s="240"/>
      <c r="EM35" s="240"/>
      <c r="EN35" s="240"/>
      <c r="EO35" s="240"/>
      <c r="EP35" s="240"/>
      <c r="EQ35" s="240"/>
      <c r="ER35" s="240"/>
      <c r="ES35" s="240"/>
      <c r="ET35" s="240"/>
      <c r="EU35" s="240"/>
      <c r="EV35" s="240"/>
      <c r="EW35" s="240"/>
      <c r="EX35" s="240"/>
      <c r="EY35" s="240"/>
      <c r="EZ35" s="240"/>
      <c r="FA35" s="240"/>
      <c r="FB35" s="240"/>
      <c r="FC35" s="240"/>
      <c r="FD35" s="240"/>
      <c r="FE35" s="240"/>
      <c r="FF35" s="240"/>
      <c r="FG35" s="240"/>
      <c r="FH35" s="240"/>
      <c r="FI35" s="240"/>
      <c r="FJ35" s="240"/>
      <c r="FK35" s="240"/>
      <c r="FL35" s="240"/>
      <c r="FM35" s="240"/>
      <c r="FN35" s="240"/>
      <c r="FO35" s="240"/>
      <c r="FP35" s="240"/>
      <c r="FQ35" s="240"/>
      <c r="FR35" s="240"/>
      <c r="FS35" s="240"/>
      <c r="FT35" s="240"/>
      <c r="FU35" s="240"/>
      <c r="FV35" s="240"/>
      <c r="FW35" s="240"/>
      <c r="FX35" s="240"/>
      <c r="FY35" s="240"/>
      <c r="FZ35" s="240"/>
      <c r="GA35" s="240"/>
      <c r="GB35" s="240"/>
      <c r="GC35" s="240"/>
      <c r="GD35" s="240"/>
      <c r="GE35" s="240"/>
      <c r="GF35" s="240"/>
      <c r="GG35" s="240"/>
      <c r="GH35" s="240"/>
      <c r="GI35" s="240"/>
      <c r="GJ35" s="240"/>
      <c r="GK35" s="240"/>
      <c r="GL35" s="240"/>
      <c r="GM35" s="240"/>
      <c r="GN35" s="240"/>
      <c r="GO35" s="240"/>
      <c r="GP35" s="240"/>
      <c r="GQ35" s="240"/>
      <c r="GR35" s="240"/>
      <c r="GS35" s="240"/>
      <c r="GT35" s="240"/>
      <c r="GU35" s="240"/>
      <c r="GV35" s="240"/>
      <c r="GW35" s="240"/>
      <c r="GX35" s="240"/>
      <c r="GY35" s="240"/>
      <c r="GZ35" s="240"/>
      <c r="HA35" s="240"/>
      <c r="HB35" s="240"/>
      <c r="HC35" s="240"/>
      <c r="HD35" s="240"/>
      <c r="HE35" s="240"/>
      <c r="HF35" s="240"/>
      <c r="HG35" s="240"/>
      <c r="HH35" s="240"/>
      <c r="HI35" s="240"/>
      <c r="HJ35" s="240"/>
      <c r="HK35" s="240"/>
      <c r="HL35" s="240"/>
      <c r="HM35" s="240"/>
      <c r="HN35" s="240"/>
      <c r="HO35" s="240"/>
      <c r="HP35" s="240"/>
      <c r="HQ35" s="240"/>
      <c r="HR35" s="240"/>
      <c r="HS35" s="240"/>
      <c r="HT35" s="240"/>
      <c r="HU35" s="240"/>
      <c r="HV35" s="240"/>
      <c r="HW35" s="240"/>
      <c r="HX35" s="240"/>
      <c r="HY35" s="240"/>
      <c r="HZ35" s="240"/>
      <c r="IA35" s="240"/>
      <c r="IB35" s="240"/>
      <c r="IC35" s="240"/>
      <c r="ID35" s="240"/>
      <c r="IE35" s="240"/>
      <c r="IF35" s="240"/>
      <c r="IG35" s="240"/>
      <c r="IH35" s="240"/>
      <c r="II35" s="240"/>
      <c r="IJ35" s="240"/>
      <c r="IK35" s="240"/>
      <c r="IL35" s="240"/>
      <c r="IM35" s="240"/>
      <c r="IN35" s="240"/>
      <c r="IO35" s="240"/>
      <c r="IP35" s="240"/>
      <c r="IQ35" s="240"/>
      <c r="IR35" s="240"/>
      <c r="IS35" s="240"/>
      <c r="IT35" s="240"/>
      <c r="IU35" s="240"/>
      <c r="IV35" s="240"/>
      <c r="IW35" s="240"/>
      <c r="IX35" s="240"/>
      <c r="IY35" s="240"/>
      <c r="IZ35" s="240"/>
      <c r="JA35" s="240"/>
      <c r="JB35" s="240"/>
      <c r="JC35" s="240"/>
      <c r="JD35" s="240"/>
      <c r="JE35" s="240"/>
      <c r="JF35" s="240"/>
      <c r="JG35" s="240"/>
      <c r="JH35" s="240"/>
      <c r="JI35" s="240"/>
      <c r="JJ35" s="240"/>
      <c r="JK35" s="240"/>
      <c r="JL35" s="240"/>
      <c r="JM35" s="240"/>
      <c r="JN35" s="240"/>
      <c r="JO35" s="240"/>
      <c r="JP35" s="240"/>
      <c r="JQ35" s="240"/>
      <c r="JR35" s="240"/>
      <c r="JS35" s="240"/>
      <c r="JT35" s="240"/>
      <c r="JU35" s="240"/>
      <c r="JV35" s="240"/>
      <c r="JW35" s="240"/>
      <c r="JX35" s="240"/>
      <c r="JY35" s="240"/>
      <c r="JZ35" s="240"/>
      <c r="KA35" s="240"/>
      <c r="KB35" s="240"/>
      <c r="KC35" s="240"/>
      <c r="KD35" s="240"/>
      <c r="KE35" s="240"/>
      <c r="KF35" s="240"/>
      <c r="KG35" s="240"/>
      <c r="KH35" s="240"/>
      <c r="KI35" s="240"/>
      <c r="KJ35" s="240"/>
      <c r="KK35" s="240"/>
      <c r="KL35" s="240"/>
      <c r="KM35" s="240"/>
      <c r="KN35" s="240"/>
      <c r="KO35" s="240"/>
      <c r="KP35" s="240"/>
      <c r="KQ35" s="240"/>
      <c r="KR35" s="240"/>
      <c r="KS35" s="240"/>
      <c r="KT35" s="240"/>
      <c r="KU35" s="240"/>
      <c r="KV35" s="240"/>
      <c r="KW35" s="240"/>
      <c r="KX35" s="240"/>
      <c r="KY35" s="240"/>
      <c r="KZ35" s="240"/>
      <c r="LA35" s="240"/>
      <c r="LB35" s="240"/>
      <c r="LC35" s="240"/>
      <c r="LD35" s="240"/>
      <c r="LE35" s="240"/>
      <c r="LF35" s="240"/>
    </row>
    <row r="36" spans="1:318" s="12" customFormat="1" ht="18" customHeight="1" x14ac:dyDescent="0.25">
      <c r="A36" s="27"/>
      <c r="B36" s="25"/>
      <c r="C36" s="29"/>
      <c r="E36" s="29"/>
      <c r="F36" s="29"/>
      <c r="H36" s="29"/>
      <c r="I36" s="27"/>
    </row>
    <row r="37" spans="1:318" s="12" customFormat="1" ht="18" customHeight="1" x14ac:dyDescent="0.25">
      <c r="A37" s="27"/>
      <c r="B37" s="25"/>
      <c r="C37" s="29"/>
      <c r="E37" s="29"/>
      <c r="F37" s="29"/>
      <c r="H37" s="29"/>
      <c r="I37" s="27"/>
    </row>
    <row r="38" spans="1:318" s="12" customFormat="1" ht="18" customHeight="1" x14ac:dyDescent="0.25">
      <c r="A38" s="27"/>
      <c r="B38" s="25"/>
      <c r="C38" s="29"/>
      <c r="E38" s="29"/>
      <c r="F38" s="29"/>
      <c r="H38" s="29"/>
      <c r="I38" s="27"/>
    </row>
    <row r="39" spans="1:318" s="12" customFormat="1" ht="18" customHeight="1" x14ac:dyDescent="0.25">
      <c r="A39" s="27"/>
      <c r="B39" s="25"/>
      <c r="C39" s="29"/>
      <c r="E39" s="29"/>
      <c r="F39" s="29"/>
      <c r="H39" s="29"/>
      <c r="I39" s="27"/>
    </row>
    <row r="40" spans="1:318" s="12" customFormat="1" ht="18" customHeight="1" x14ac:dyDescent="0.25">
      <c r="A40" s="27"/>
      <c r="B40" s="25"/>
      <c r="C40" s="29"/>
      <c r="E40" s="29"/>
      <c r="F40" s="29"/>
      <c r="H40" s="29"/>
      <c r="I40" s="27"/>
    </row>
    <row r="41" spans="1:318" s="12" customFormat="1" ht="18" customHeight="1" x14ac:dyDescent="0.25">
      <c r="A41" s="27"/>
      <c r="B41" s="25"/>
      <c r="C41" s="29"/>
      <c r="E41" s="29"/>
      <c r="F41" s="29"/>
      <c r="H41" s="29"/>
      <c r="I41" s="27"/>
    </row>
    <row r="42" spans="1:318" s="12" customFormat="1" ht="18" customHeight="1" x14ac:dyDescent="0.25">
      <c r="A42" s="27"/>
      <c r="B42" s="25"/>
      <c r="C42" s="29"/>
      <c r="E42" s="29"/>
      <c r="F42" s="29"/>
      <c r="H42" s="29"/>
      <c r="I42" s="27"/>
    </row>
    <row r="43" spans="1:318" s="12" customFormat="1" ht="18" customHeight="1" x14ac:dyDescent="0.25">
      <c r="A43" s="27"/>
      <c r="B43" s="25"/>
      <c r="C43" s="29"/>
      <c r="E43" s="29"/>
      <c r="F43" s="29"/>
      <c r="H43" s="29"/>
      <c r="I43" s="27"/>
    </row>
    <row r="44" spans="1:318" s="12" customFormat="1" ht="18" customHeight="1" x14ac:dyDescent="0.25">
      <c r="A44" s="27"/>
      <c r="B44" s="25"/>
      <c r="C44" s="29"/>
      <c r="E44" s="29"/>
      <c r="F44" s="29"/>
      <c r="H44" s="29"/>
      <c r="I44" s="27"/>
    </row>
    <row r="45" spans="1:318" s="12" customFormat="1" ht="18" customHeight="1" x14ac:dyDescent="0.25">
      <c r="A45" s="27"/>
      <c r="B45" s="25"/>
      <c r="C45" s="29"/>
      <c r="E45" s="29"/>
      <c r="F45" s="29"/>
      <c r="H45" s="29"/>
      <c r="I45" s="27"/>
    </row>
    <row r="46" spans="1:318" s="12" customFormat="1" ht="18" customHeight="1" x14ac:dyDescent="0.25">
      <c r="A46" s="27"/>
      <c r="B46" s="25"/>
      <c r="C46" s="29"/>
      <c r="E46" s="29"/>
      <c r="F46" s="29"/>
      <c r="H46" s="29"/>
      <c r="I46" s="27"/>
    </row>
    <row r="47" spans="1:318" s="12" customFormat="1" ht="18" customHeight="1" x14ac:dyDescent="0.25">
      <c r="A47" s="27"/>
      <c r="B47" s="25"/>
      <c r="C47" s="29"/>
      <c r="E47" s="29"/>
      <c r="F47" s="29"/>
      <c r="H47" s="29"/>
      <c r="I47" s="27"/>
    </row>
    <row r="48" spans="1:318" s="12" customFormat="1" ht="18" customHeight="1" x14ac:dyDescent="0.25">
      <c r="A48" s="27"/>
      <c r="B48" s="25"/>
      <c r="C48" s="29"/>
      <c r="E48" s="29"/>
      <c r="F48" s="29"/>
      <c r="H48" s="29"/>
      <c r="I48" s="27"/>
    </row>
  </sheetData>
  <mergeCells count="11">
    <mergeCell ref="F5:F7"/>
    <mergeCell ref="G5:G7"/>
    <mergeCell ref="H5:H7"/>
    <mergeCell ref="I5:I7"/>
    <mergeCell ref="A1:G1"/>
    <mergeCell ref="A3:G3"/>
    <mergeCell ref="A5:A7"/>
    <mergeCell ref="B5:B7"/>
    <mergeCell ref="C5:C7"/>
    <mergeCell ref="D5:D7"/>
    <mergeCell ref="E5:E7"/>
  </mergeCells>
  <phoneticPr fontId="0" type="noConversion"/>
  <conditionalFormatting sqref="J12:KH12 J13:JS13 JU13:KH13">
    <cfRule type="top10" dxfId="27" priority="1" rank="15"/>
  </conditionalFormatting>
  <conditionalFormatting sqref="J11:LF11 J10:GG10 GZ10:KG10 GX10 GQ10:GV10 KI10:LF10 GI10:GO10">
    <cfRule type="top10" dxfId="26" priority="142" rank="15"/>
  </conditionalFormatting>
  <conditionalFormatting sqref="J8:AN9 GV8:LF8 FE8:GT9 AP9:ET9 AP8:DS8 DV8:ET8 GV9:KC9 KE9:LF9">
    <cfRule type="top10" dxfId="25" priority="147" rank="15"/>
  </conditionalFormatting>
  <pageMargins left="0.75" right="0.75" top="1" bottom="1" header="0.4921259845" footer="0.4921259845"/>
  <pageSetup paperSize="9" orientation="portrait" r:id="rId1"/>
  <headerFooter alignWithMargins="0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99"/>
  </sheetPr>
  <dimension ref="A1:LR35"/>
  <sheetViews>
    <sheetView showGridLines="0" workbookViewId="0">
      <pane xSplit="9" ySplit="7" topLeftCell="J8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3.2" x14ac:dyDescent="0.25"/>
  <cols>
    <col min="1" max="1" width="9.88671875" style="26" customWidth="1"/>
    <col min="2" max="2" width="23.109375" style="15" customWidth="1"/>
    <col min="3" max="3" width="11.6640625" style="6" customWidth="1"/>
    <col min="4" max="4" width="22.88671875" style="7" customWidth="1"/>
    <col min="5" max="5" width="12" style="6" customWidth="1"/>
    <col min="6" max="6" width="9.5546875" style="6" customWidth="1"/>
    <col min="7" max="7" width="25" style="7" customWidth="1"/>
    <col min="8" max="8" width="9.5546875" style="1" customWidth="1"/>
    <col min="9" max="9" width="9.88671875" style="14" customWidth="1"/>
    <col min="10" max="30" width="4.6640625" style="7" customWidth="1"/>
    <col min="31" max="31" width="7.109375" style="7" customWidth="1"/>
    <col min="32" max="32" width="6.109375" style="7" customWidth="1"/>
    <col min="33" max="41" width="4.6640625" style="7" customWidth="1"/>
    <col min="42" max="42" width="7.88671875" style="7" customWidth="1"/>
    <col min="43" max="43" width="7.6640625" style="7" customWidth="1"/>
    <col min="44" max="55" width="4.6640625" style="7" customWidth="1"/>
    <col min="56" max="56" width="5.33203125" style="7" customWidth="1"/>
    <col min="57" max="57" width="4.6640625" style="7" customWidth="1"/>
    <col min="58" max="58" width="9.44140625" style="7" customWidth="1"/>
    <col min="59" max="59" width="7.88671875" style="7" customWidth="1"/>
    <col min="60" max="61" width="4.6640625" style="7" customWidth="1"/>
    <col min="62" max="62" width="5.6640625" style="7" customWidth="1"/>
    <col min="63" max="63" width="5.44140625" style="7" customWidth="1"/>
    <col min="64" max="64" width="5.88671875" style="7" customWidth="1"/>
    <col min="65" max="65" width="5.5546875" style="7" customWidth="1"/>
    <col min="66" max="66" width="8.109375" style="7" customWidth="1"/>
    <col min="67" max="67" width="6.33203125" style="7" customWidth="1"/>
    <col min="68" max="73" width="4.6640625" style="7" customWidth="1"/>
    <col min="74" max="74" width="10.33203125" style="7" customWidth="1"/>
    <col min="75" max="75" width="6.109375" style="7" customWidth="1"/>
    <col min="76" max="78" width="4.6640625" style="7" customWidth="1"/>
    <col min="79" max="80" width="5.5546875" style="7" customWidth="1"/>
    <col min="81" max="81" width="9.33203125" style="7" customWidth="1"/>
    <col min="82" max="86" width="4.6640625" style="7" customWidth="1"/>
    <col min="87" max="87" width="10.33203125" style="7" customWidth="1"/>
    <col min="88" max="218" width="4.6640625" style="7" customWidth="1"/>
    <col min="219" max="219" width="13.109375" style="7" customWidth="1"/>
    <col min="220" max="258" width="4.6640625" style="7" customWidth="1"/>
    <col min="259" max="259" width="5.6640625" style="7" customWidth="1"/>
    <col min="260" max="260" width="5.88671875" style="7" customWidth="1"/>
    <col min="261" max="263" width="4.6640625" style="7" customWidth="1"/>
    <col min="264" max="264" width="6.33203125" style="7" customWidth="1"/>
    <col min="265" max="265" width="5.88671875" style="7" customWidth="1"/>
    <col min="266" max="266" width="10.88671875" style="7" customWidth="1"/>
    <col min="267" max="277" width="4.6640625" style="7" customWidth="1"/>
    <col min="278" max="278" width="9.88671875" style="7" customWidth="1"/>
    <col min="279" max="318" width="4.6640625" style="7" customWidth="1"/>
  </cols>
  <sheetData>
    <row r="1" spans="1:330" ht="24.9" customHeight="1" x14ac:dyDescent="0.4">
      <c r="A1" s="358" t="s">
        <v>0</v>
      </c>
      <c r="B1" s="359"/>
      <c r="C1" s="359"/>
      <c r="D1" s="359"/>
      <c r="E1" s="359"/>
      <c r="F1" s="359"/>
      <c r="G1" s="35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  <c r="IW1" s="9"/>
      <c r="IX1" s="9"/>
      <c r="IY1" s="9"/>
      <c r="IZ1" s="9"/>
      <c r="JA1" s="9"/>
      <c r="JB1" s="9"/>
      <c r="JC1" s="9"/>
      <c r="JD1" s="9"/>
      <c r="JE1" s="9"/>
      <c r="JF1" s="9"/>
      <c r="JG1" s="9"/>
      <c r="JH1" s="9"/>
      <c r="JI1" s="9"/>
      <c r="JJ1" s="9"/>
      <c r="JK1" s="9"/>
      <c r="JL1" s="9"/>
      <c r="JM1" s="9"/>
      <c r="JN1" s="9"/>
      <c r="JO1" s="9"/>
      <c r="JP1" s="9"/>
      <c r="JQ1" s="9"/>
      <c r="JR1" s="9"/>
      <c r="JS1" s="9"/>
      <c r="JT1" s="9"/>
      <c r="JU1" s="9"/>
      <c r="JV1" s="9"/>
      <c r="JW1" s="9"/>
      <c r="JX1" s="9"/>
      <c r="JY1" s="9"/>
      <c r="JZ1" s="9"/>
      <c r="KA1" s="9"/>
      <c r="KB1" s="9"/>
      <c r="KC1" s="9"/>
      <c r="KD1" s="9"/>
      <c r="KE1" s="9"/>
      <c r="KF1" s="9"/>
      <c r="KG1" s="9"/>
      <c r="KH1" s="9"/>
      <c r="KI1" s="9"/>
      <c r="KJ1" s="9"/>
      <c r="KK1" s="9"/>
      <c r="KL1" s="9"/>
      <c r="KM1" s="9"/>
      <c r="KN1" s="9"/>
      <c r="KO1" s="9"/>
      <c r="KP1" s="9"/>
      <c r="KQ1" s="9"/>
      <c r="KR1" s="9"/>
      <c r="KS1" s="9"/>
      <c r="KT1" s="9"/>
      <c r="KU1" s="9"/>
      <c r="KV1" s="9"/>
      <c r="KW1" s="9"/>
      <c r="KX1" s="9"/>
      <c r="KY1" s="9"/>
      <c r="KZ1" s="9"/>
      <c r="LA1" s="9"/>
      <c r="LB1" s="9"/>
      <c r="LC1" s="9"/>
      <c r="LD1" s="9"/>
      <c r="LE1" s="9"/>
      <c r="LF1" s="9"/>
    </row>
    <row r="2" spans="1:330" ht="15" customHeight="1" x14ac:dyDescent="0.4">
      <c r="A2" s="103"/>
      <c r="B2" s="80"/>
      <c r="C2" s="81"/>
      <c r="D2" s="81"/>
      <c r="E2" s="81"/>
      <c r="F2" s="81"/>
      <c r="G2" s="81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74" t="s">
        <v>1</v>
      </c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74" t="s">
        <v>1</v>
      </c>
      <c r="EN2" s="74"/>
      <c r="EO2" s="74"/>
      <c r="EP2" s="74"/>
      <c r="EQ2" s="74"/>
      <c r="ER2" s="74"/>
      <c r="ES2" s="74"/>
      <c r="ET2" s="74"/>
      <c r="EU2" s="74"/>
      <c r="EV2" s="74"/>
      <c r="EW2" s="74"/>
      <c r="EX2" s="74"/>
      <c r="EY2" s="74"/>
      <c r="EZ2" s="74"/>
      <c r="FA2" s="74"/>
      <c r="FB2" s="74"/>
      <c r="FC2" s="74"/>
      <c r="FD2" s="74"/>
      <c r="FE2" s="74"/>
      <c r="FF2" s="74"/>
      <c r="FG2" s="74"/>
      <c r="FH2" s="74"/>
      <c r="FI2" s="74"/>
      <c r="FJ2" s="74"/>
      <c r="FK2" s="74"/>
      <c r="FL2" s="74"/>
      <c r="FM2" s="74"/>
      <c r="FN2" s="74"/>
      <c r="FO2" s="74"/>
      <c r="FP2" s="74"/>
      <c r="FQ2" s="74"/>
      <c r="FR2" s="74"/>
      <c r="FS2" s="74"/>
      <c r="FT2" s="74"/>
      <c r="FU2" s="74"/>
      <c r="FV2" s="74"/>
      <c r="FW2" s="74"/>
      <c r="FX2" s="74"/>
      <c r="FY2" s="74"/>
      <c r="FZ2" s="74"/>
      <c r="GA2" s="74"/>
      <c r="GB2" s="74"/>
      <c r="GC2" s="74"/>
      <c r="GD2" s="74"/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  <c r="IW2" s="74"/>
      <c r="IX2" s="74"/>
      <c r="IY2" s="74"/>
      <c r="IZ2" s="74"/>
      <c r="JA2" s="74"/>
      <c r="JB2" s="74"/>
      <c r="JC2" s="74"/>
      <c r="JD2" s="74"/>
      <c r="JE2" s="74"/>
      <c r="JF2" s="74"/>
      <c r="JG2" s="74"/>
      <c r="JH2" s="74"/>
      <c r="JI2" s="74"/>
      <c r="JJ2" s="74"/>
      <c r="JK2" s="74"/>
      <c r="JL2" s="74"/>
      <c r="JM2" s="74"/>
      <c r="JN2" s="74"/>
      <c r="JO2" s="74"/>
      <c r="JP2" s="74"/>
      <c r="JQ2" s="74"/>
      <c r="JR2" s="74"/>
      <c r="JS2" s="74"/>
      <c r="JT2" s="74"/>
      <c r="JU2" s="74"/>
      <c r="JV2" s="74"/>
      <c r="JW2" s="74"/>
      <c r="JX2" s="74"/>
      <c r="JY2" s="74"/>
      <c r="JZ2" s="74"/>
      <c r="KA2" s="74"/>
      <c r="KB2" s="74"/>
      <c r="KC2" s="74"/>
      <c r="KD2" s="74"/>
      <c r="KE2" s="74"/>
      <c r="KF2" s="74"/>
      <c r="KG2" s="74"/>
      <c r="KH2" s="74"/>
      <c r="KI2" s="74"/>
      <c r="KJ2" s="74"/>
      <c r="KK2" s="74"/>
      <c r="KL2" s="74"/>
      <c r="KM2" s="74"/>
      <c r="KN2" s="74"/>
      <c r="KO2" s="74"/>
      <c r="KP2" s="74"/>
      <c r="KQ2" s="74"/>
      <c r="KR2" s="74"/>
      <c r="KS2" s="74"/>
      <c r="KT2" s="74"/>
      <c r="KU2" s="74"/>
      <c r="KV2" s="74"/>
      <c r="KW2" s="74"/>
      <c r="KX2" s="74"/>
      <c r="KY2" s="74"/>
      <c r="KZ2" s="6"/>
      <c r="LA2" s="6"/>
      <c r="LB2" s="6"/>
      <c r="LC2" s="6"/>
      <c r="LD2" s="6"/>
      <c r="LE2" s="6"/>
      <c r="LF2" s="6"/>
    </row>
    <row r="3" spans="1:330" ht="24.9" customHeight="1" x14ac:dyDescent="0.4">
      <c r="A3" s="360" t="s">
        <v>427</v>
      </c>
      <c r="B3" s="360"/>
      <c r="C3" s="360"/>
      <c r="D3" s="360"/>
      <c r="E3" s="360"/>
      <c r="F3" s="360"/>
      <c r="G3" s="36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</row>
    <row r="4" spans="1:330" ht="15" customHeight="1" x14ac:dyDescent="0.25"/>
    <row r="5" spans="1:330" ht="14.4" x14ac:dyDescent="0.3">
      <c r="A5" s="361" t="s">
        <v>3</v>
      </c>
      <c r="B5" s="364" t="s">
        <v>4</v>
      </c>
      <c r="C5" s="364" t="s">
        <v>5</v>
      </c>
      <c r="D5" s="364" t="s">
        <v>6</v>
      </c>
      <c r="E5" s="364" t="s">
        <v>5</v>
      </c>
      <c r="F5" s="364" t="s">
        <v>7</v>
      </c>
      <c r="G5" s="364" t="s">
        <v>8</v>
      </c>
      <c r="H5" s="355" t="s">
        <v>9</v>
      </c>
      <c r="I5" s="355" t="s">
        <v>387</v>
      </c>
      <c r="J5" s="82" t="s">
        <v>11</v>
      </c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4"/>
      <c r="X5" s="83" t="s">
        <v>12</v>
      </c>
      <c r="Y5" s="82"/>
      <c r="Z5" s="82"/>
      <c r="AA5" s="82"/>
      <c r="AB5" s="82"/>
      <c r="AC5" s="82"/>
      <c r="AD5" s="82"/>
      <c r="AE5" s="122" t="s">
        <v>12</v>
      </c>
      <c r="AF5" s="123"/>
      <c r="AG5" s="122" t="s">
        <v>13</v>
      </c>
      <c r="AH5" s="82"/>
      <c r="AI5" s="82"/>
      <c r="AJ5" s="82"/>
      <c r="AK5" s="82"/>
      <c r="AL5" s="82"/>
      <c r="AM5" s="82"/>
      <c r="AN5" s="82"/>
      <c r="AO5" s="82"/>
      <c r="AP5" s="82"/>
      <c r="AQ5" s="82"/>
      <c r="AR5" s="128"/>
      <c r="AS5" s="82" t="s">
        <v>14</v>
      </c>
      <c r="AT5" s="82"/>
      <c r="AU5" s="82"/>
      <c r="AV5" s="83" t="s">
        <v>15</v>
      </c>
      <c r="AW5" s="82"/>
      <c r="AX5" s="82"/>
      <c r="AY5" s="82"/>
      <c r="AZ5" s="82"/>
      <c r="BA5" s="82"/>
      <c r="BB5" s="82"/>
      <c r="BC5" s="82"/>
      <c r="BD5" s="82"/>
      <c r="BE5" s="82"/>
      <c r="BF5" s="82"/>
      <c r="BG5" s="82"/>
      <c r="BH5" s="82"/>
      <c r="BI5" s="84"/>
      <c r="BJ5" s="82" t="s">
        <v>16</v>
      </c>
      <c r="BK5" s="82"/>
      <c r="BL5" s="83" t="s">
        <v>16</v>
      </c>
      <c r="BM5" s="84"/>
      <c r="BN5" s="82" t="s">
        <v>17</v>
      </c>
      <c r="BO5" s="82"/>
      <c r="BP5" s="83" t="s">
        <v>18</v>
      </c>
      <c r="BQ5" s="82"/>
      <c r="BR5" s="82"/>
      <c r="BS5" s="82"/>
      <c r="BT5" s="82"/>
      <c r="BU5" s="84"/>
      <c r="BV5" s="82" t="s">
        <v>19</v>
      </c>
      <c r="BW5" s="83" t="s">
        <v>20</v>
      </c>
      <c r="BX5" s="84"/>
      <c r="BY5" s="82" t="s">
        <v>21</v>
      </c>
      <c r="BZ5" s="82"/>
      <c r="CA5" s="83" t="s">
        <v>22</v>
      </c>
      <c r="CB5" s="84"/>
      <c r="CC5" s="82" t="s">
        <v>22</v>
      </c>
      <c r="CD5" s="83" t="s">
        <v>23</v>
      </c>
      <c r="CE5" s="82"/>
      <c r="CF5" s="82"/>
      <c r="CG5" s="82"/>
      <c r="CH5" s="84"/>
      <c r="CI5" s="189" t="s">
        <v>24</v>
      </c>
      <c r="CJ5" s="82" t="s">
        <v>25</v>
      </c>
      <c r="CK5" s="82"/>
      <c r="CL5" s="82"/>
      <c r="CM5" s="82"/>
      <c r="CN5" s="82"/>
      <c r="CO5" s="82"/>
      <c r="CP5" s="82"/>
      <c r="CQ5" s="82"/>
      <c r="CR5" s="82"/>
      <c r="CS5" s="82"/>
      <c r="CT5" s="82"/>
      <c r="CU5" s="82"/>
      <c r="CV5" s="82"/>
      <c r="CW5" s="82"/>
      <c r="CX5" s="82"/>
      <c r="CY5" s="82"/>
      <c r="CZ5" s="83" t="s">
        <v>25</v>
      </c>
      <c r="DA5" s="84"/>
      <c r="DB5" s="82" t="s">
        <v>26</v>
      </c>
      <c r="DC5" s="82"/>
      <c r="DD5" s="82"/>
      <c r="DE5" s="82"/>
      <c r="DF5" s="82"/>
      <c r="DG5" s="82"/>
      <c r="DH5" s="82"/>
      <c r="DI5" s="83" t="s">
        <v>27</v>
      </c>
      <c r="DJ5" s="82"/>
      <c r="DK5" s="82"/>
      <c r="DL5" s="82"/>
      <c r="DM5" s="82"/>
      <c r="DN5" s="82"/>
      <c r="DO5" s="82"/>
      <c r="DP5" s="82"/>
      <c r="DQ5" s="82"/>
      <c r="DR5" s="82"/>
      <c r="DS5" s="82"/>
      <c r="DT5" s="82"/>
      <c r="DU5" s="82"/>
      <c r="DV5" s="82"/>
      <c r="DW5" s="82"/>
      <c r="DX5" s="84"/>
      <c r="DY5" s="82" t="s">
        <v>28</v>
      </c>
      <c r="DZ5" s="82"/>
      <c r="EA5" s="82" t="s">
        <v>29</v>
      </c>
      <c r="EB5" s="82"/>
      <c r="EC5" s="82"/>
      <c r="ED5" s="82"/>
      <c r="EE5" s="82"/>
      <c r="EF5" s="82"/>
      <c r="EG5" s="82"/>
      <c r="EH5" s="82"/>
      <c r="EI5" s="82"/>
      <c r="EJ5" s="82"/>
      <c r="EK5" s="82"/>
      <c r="EL5" s="82"/>
      <c r="EM5" s="82"/>
      <c r="EN5" s="83" t="s">
        <v>30</v>
      </c>
      <c r="EO5" s="82"/>
      <c r="EP5" s="84"/>
      <c r="EQ5" s="82" t="s">
        <v>31</v>
      </c>
      <c r="ER5" s="82"/>
      <c r="ES5" s="82"/>
      <c r="ET5" s="82"/>
      <c r="EU5" s="82"/>
      <c r="EV5" s="82"/>
      <c r="EW5" s="82"/>
      <c r="EX5" s="82"/>
      <c r="EY5" s="82"/>
      <c r="EZ5" s="82"/>
      <c r="FA5" s="82"/>
      <c r="FB5" s="82"/>
      <c r="FC5" s="82"/>
      <c r="FD5" s="82"/>
      <c r="FE5" s="82"/>
      <c r="FF5" s="84"/>
      <c r="FG5" s="82" t="s">
        <v>32</v>
      </c>
      <c r="FH5" s="82"/>
      <c r="FI5" s="82"/>
      <c r="FJ5" s="82"/>
      <c r="FK5" s="82"/>
      <c r="FL5" s="82"/>
      <c r="FM5" s="83" t="s">
        <v>32</v>
      </c>
      <c r="FN5" s="82"/>
      <c r="FO5" s="84"/>
      <c r="FP5" s="82" t="s">
        <v>33</v>
      </c>
      <c r="FQ5" s="82"/>
      <c r="FR5" s="82"/>
      <c r="FS5" s="82"/>
      <c r="FT5" s="82"/>
      <c r="FU5" s="82"/>
      <c r="FV5" s="82"/>
      <c r="FW5" s="82"/>
      <c r="FX5" s="82"/>
      <c r="FY5" s="82"/>
      <c r="FZ5" s="82"/>
      <c r="GA5" s="82"/>
      <c r="GB5" s="82"/>
      <c r="GC5" s="82"/>
      <c r="GD5" s="82"/>
      <c r="GE5" s="83" t="s">
        <v>34</v>
      </c>
      <c r="GF5" s="82"/>
      <c r="GG5" s="82"/>
      <c r="GH5" s="82"/>
      <c r="GI5" s="82"/>
      <c r="GJ5" s="82"/>
      <c r="GK5" s="82"/>
      <c r="GL5" s="82"/>
      <c r="GM5" s="82"/>
      <c r="GN5" s="82"/>
      <c r="GO5" s="82"/>
      <c r="GP5" s="82"/>
      <c r="GQ5" s="82"/>
      <c r="GR5" s="82"/>
      <c r="GS5" s="82"/>
      <c r="GT5" s="82"/>
      <c r="GU5" s="82"/>
      <c r="GV5" s="82"/>
      <c r="GW5" s="82"/>
      <c r="GX5" s="82"/>
      <c r="GY5" s="82"/>
      <c r="GZ5" s="82"/>
      <c r="HA5" s="82"/>
      <c r="HB5" s="84"/>
      <c r="HC5" s="82" t="s">
        <v>35</v>
      </c>
      <c r="HD5" s="82"/>
      <c r="HE5" s="83" t="s">
        <v>36</v>
      </c>
      <c r="HF5" s="82"/>
      <c r="HG5" s="82"/>
      <c r="HH5" s="82"/>
      <c r="HI5" s="82"/>
      <c r="HJ5" s="84"/>
      <c r="HK5" s="82" t="s">
        <v>36</v>
      </c>
      <c r="HL5" s="83" t="s">
        <v>37</v>
      </c>
      <c r="HM5" s="82"/>
      <c r="HN5" s="82"/>
      <c r="HO5" s="82"/>
      <c r="HP5" s="82"/>
      <c r="HQ5" s="82"/>
      <c r="HR5" s="82"/>
      <c r="HS5" s="84"/>
      <c r="HT5" s="82" t="s">
        <v>38</v>
      </c>
      <c r="HU5" s="82"/>
      <c r="HV5" s="82"/>
      <c r="HW5" s="82"/>
      <c r="HX5" s="82"/>
      <c r="HY5" s="82"/>
      <c r="HZ5" s="83" t="s">
        <v>39</v>
      </c>
      <c r="IA5" s="82"/>
      <c r="IB5" s="82"/>
      <c r="IC5" s="82"/>
      <c r="ID5" s="82"/>
      <c r="IE5" s="82"/>
      <c r="IF5" s="82"/>
      <c r="IG5" s="82"/>
      <c r="IH5" s="82"/>
      <c r="II5" s="84"/>
      <c r="IJ5" s="82" t="s">
        <v>40</v>
      </c>
      <c r="IK5" s="82"/>
      <c r="IL5" s="82"/>
      <c r="IM5" s="82"/>
      <c r="IN5" s="82"/>
      <c r="IO5" s="82"/>
      <c r="IP5" s="82"/>
      <c r="IQ5" s="82"/>
      <c r="IR5" s="82"/>
      <c r="IS5" s="82"/>
      <c r="IT5" s="82"/>
      <c r="IU5" s="82"/>
      <c r="IV5" s="82"/>
      <c r="IW5" s="82"/>
      <c r="IX5" s="82"/>
      <c r="IY5" s="83" t="s">
        <v>41</v>
      </c>
      <c r="IZ5" s="84"/>
      <c r="JA5" s="82" t="s">
        <v>42</v>
      </c>
      <c r="JB5" s="82"/>
      <c r="JC5" s="82"/>
      <c r="JD5" s="83" t="s">
        <v>42</v>
      </c>
      <c r="JE5" s="84"/>
      <c r="JF5" s="82" t="s">
        <v>43</v>
      </c>
      <c r="JG5" s="83" t="s">
        <v>44</v>
      </c>
      <c r="JH5" s="82"/>
      <c r="JI5" s="82"/>
      <c r="JJ5" s="82"/>
      <c r="JK5" s="82"/>
      <c r="JL5" s="82"/>
      <c r="JM5" s="82"/>
      <c r="JN5" s="82"/>
      <c r="JO5" s="82"/>
      <c r="JP5" s="82"/>
      <c r="JQ5" s="84"/>
      <c r="JR5" s="82" t="s">
        <v>45</v>
      </c>
      <c r="JS5" s="83" t="s">
        <v>46</v>
      </c>
      <c r="JT5" s="82"/>
      <c r="JU5" s="82"/>
      <c r="JV5" s="82"/>
      <c r="JW5" s="82"/>
      <c r="JX5" s="84"/>
      <c r="JY5" s="82" t="s">
        <v>450</v>
      </c>
      <c r="JZ5" s="82"/>
      <c r="KA5" s="82"/>
      <c r="KB5" s="83" t="s">
        <v>451</v>
      </c>
      <c r="KC5" s="82"/>
      <c r="KD5" s="82"/>
      <c r="KE5" s="82"/>
      <c r="KF5" s="82"/>
      <c r="KG5" s="82"/>
      <c r="KH5" s="82"/>
      <c r="KI5" s="84"/>
      <c r="KJ5" s="82" t="s">
        <v>452</v>
      </c>
      <c r="KK5" s="82"/>
      <c r="KL5" s="82"/>
      <c r="KM5" s="82"/>
      <c r="KN5" s="82"/>
      <c r="KO5" s="83" t="s">
        <v>453</v>
      </c>
      <c r="KP5" s="82"/>
      <c r="KQ5" s="82"/>
      <c r="KR5" s="82"/>
      <c r="KS5" s="82"/>
      <c r="KT5" s="84"/>
      <c r="KU5" s="82" t="s">
        <v>454</v>
      </c>
      <c r="KV5" s="82"/>
      <c r="KW5" s="82"/>
      <c r="KX5" s="82"/>
      <c r="KY5" s="82"/>
      <c r="KZ5" s="82"/>
      <c r="LA5" s="82"/>
      <c r="LB5" s="82"/>
      <c r="LC5" s="82"/>
      <c r="LD5" s="82"/>
      <c r="LE5" s="82"/>
      <c r="LF5" s="84"/>
    </row>
    <row r="6" spans="1:330" ht="18" customHeight="1" x14ac:dyDescent="0.3">
      <c r="A6" s="362"/>
      <c r="B6" s="365"/>
      <c r="C6" s="365"/>
      <c r="D6" s="365"/>
      <c r="E6" s="365"/>
      <c r="F6" s="365"/>
      <c r="G6" s="365"/>
      <c r="H6" s="356"/>
      <c r="I6" s="356"/>
      <c r="J6" s="85" t="s">
        <v>47</v>
      </c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7"/>
      <c r="X6" s="86" t="s">
        <v>47</v>
      </c>
      <c r="Y6" s="85"/>
      <c r="Z6" s="85"/>
      <c r="AA6" s="85"/>
      <c r="AB6" s="85"/>
      <c r="AC6" s="85"/>
      <c r="AD6" s="85"/>
      <c r="AE6" s="124" t="s">
        <v>48</v>
      </c>
      <c r="AF6" s="125"/>
      <c r="AG6" s="124" t="s">
        <v>47</v>
      </c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129"/>
      <c r="AS6" s="85" t="s">
        <v>49</v>
      </c>
      <c r="AT6" s="85"/>
      <c r="AU6" s="85"/>
      <c r="AV6" s="86" t="s">
        <v>47</v>
      </c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7"/>
      <c r="BJ6" s="190" t="s">
        <v>50</v>
      </c>
      <c r="BK6" s="190"/>
      <c r="BL6" s="191" t="s">
        <v>51</v>
      </c>
      <c r="BM6" s="192"/>
      <c r="BN6" s="190" t="s">
        <v>52</v>
      </c>
      <c r="BO6" s="190"/>
      <c r="BP6" s="86" t="s">
        <v>53</v>
      </c>
      <c r="BQ6" s="85"/>
      <c r="BR6" s="85"/>
      <c r="BS6" s="85"/>
      <c r="BT6" s="85"/>
      <c r="BU6" s="87"/>
      <c r="BV6" s="190" t="s">
        <v>54</v>
      </c>
      <c r="BW6" s="191" t="s">
        <v>55</v>
      </c>
      <c r="BX6" s="87"/>
      <c r="BY6" s="190" t="s">
        <v>56</v>
      </c>
      <c r="BZ6" s="190"/>
      <c r="CA6" s="191" t="s">
        <v>57</v>
      </c>
      <c r="CB6" s="192"/>
      <c r="CC6" s="190" t="s">
        <v>58</v>
      </c>
      <c r="CD6" s="86" t="s">
        <v>59</v>
      </c>
      <c r="CE6" s="85"/>
      <c r="CF6" s="85"/>
      <c r="CG6" s="85"/>
      <c r="CH6" s="87"/>
      <c r="CI6" s="193" t="s">
        <v>48</v>
      </c>
      <c r="CJ6" s="85" t="s">
        <v>60</v>
      </c>
      <c r="CK6" s="85"/>
      <c r="CL6" s="85"/>
      <c r="CM6" s="85"/>
      <c r="CN6" s="85"/>
      <c r="CO6" s="85"/>
      <c r="CP6" s="85"/>
      <c r="CQ6" s="85"/>
      <c r="CR6" s="85"/>
      <c r="CS6" s="85"/>
      <c r="CT6" s="85"/>
      <c r="CU6" s="85"/>
      <c r="CV6" s="85"/>
      <c r="CW6" s="85"/>
      <c r="CX6" s="85"/>
      <c r="CY6" s="85"/>
      <c r="CZ6" s="86" t="s">
        <v>61</v>
      </c>
      <c r="DA6" s="87"/>
      <c r="DB6" s="85" t="s">
        <v>62</v>
      </c>
      <c r="DC6" s="85"/>
      <c r="DD6" s="85"/>
      <c r="DE6" s="85"/>
      <c r="DF6" s="85"/>
      <c r="DG6" s="85"/>
      <c r="DH6" s="85"/>
      <c r="DI6" s="86" t="s">
        <v>63</v>
      </c>
      <c r="DJ6" s="85"/>
      <c r="DK6" s="85"/>
      <c r="DL6" s="85"/>
      <c r="DM6" s="85"/>
      <c r="DN6" s="85"/>
      <c r="DO6" s="85"/>
      <c r="DP6" s="85"/>
      <c r="DQ6" s="85"/>
      <c r="DR6" s="85"/>
      <c r="DS6" s="85"/>
      <c r="DT6" s="85"/>
      <c r="DU6" s="85"/>
      <c r="DV6" s="85"/>
      <c r="DW6" s="85"/>
      <c r="DX6" s="87"/>
      <c r="DY6" s="85" t="s">
        <v>64</v>
      </c>
      <c r="DZ6" s="85"/>
      <c r="EA6" s="85" t="s">
        <v>47</v>
      </c>
      <c r="EB6" s="85"/>
      <c r="EC6" s="85"/>
      <c r="ED6" s="85"/>
      <c r="EE6" s="85"/>
      <c r="EF6" s="85"/>
      <c r="EG6" s="85"/>
      <c r="EH6" s="85"/>
      <c r="EI6" s="85"/>
      <c r="EJ6" s="85"/>
      <c r="EK6" s="85"/>
      <c r="EL6" s="85"/>
      <c r="EM6" s="85"/>
      <c r="EN6" s="86" t="s">
        <v>65</v>
      </c>
      <c r="EO6" s="85"/>
      <c r="EP6" s="87"/>
      <c r="EQ6" s="85" t="s">
        <v>63</v>
      </c>
      <c r="ER6" s="85"/>
      <c r="ES6" s="85"/>
      <c r="ET6" s="85"/>
      <c r="EU6" s="85"/>
      <c r="EV6" s="85"/>
      <c r="EW6" s="85"/>
      <c r="EX6" s="85"/>
      <c r="EY6" s="85"/>
      <c r="EZ6" s="85"/>
      <c r="FA6" s="85"/>
      <c r="FB6" s="85"/>
      <c r="FC6" s="85"/>
      <c r="FD6" s="85"/>
      <c r="FE6" s="85"/>
      <c r="FF6" s="87"/>
      <c r="FG6" s="85" t="s">
        <v>66</v>
      </c>
      <c r="FH6" s="85"/>
      <c r="FI6" s="85"/>
      <c r="FJ6" s="85"/>
      <c r="FK6" s="85"/>
      <c r="FL6" s="85"/>
      <c r="FM6" s="86" t="s">
        <v>48</v>
      </c>
      <c r="FN6" s="85"/>
      <c r="FO6" s="87"/>
      <c r="FP6" s="85" t="s">
        <v>60</v>
      </c>
      <c r="FQ6" s="85"/>
      <c r="FR6" s="85"/>
      <c r="FS6" s="85"/>
      <c r="FT6" s="85"/>
      <c r="FU6" s="85"/>
      <c r="FV6" s="85"/>
      <c r="FW6" s="85"/>
      <c r="FX6" s="85"/>
      <c r="FY6" s="85"/>
      <c r="FZ6" s="85"/>
      <c r="GA6" s="85"/>
      <c r="GB6" s="85"/>
      <c r="GC6" s="85"/>
      <c r="GD6" s="85"/>
      <c r="GE6" s="86" t="s">
        <v>63</v>
      </c>
      <c r="GF6" s="85"/>
      <c r="GG6" s="85"/>
      <c r="GH6" s="85"/>
      <c r="GI6" s="85"/>
      <c r="GJ6" s="85"/>
      <c r="GK6" s="85"/>
      <c r="GL6" s="85"/>
      <c r="GM6" s="85"/>
      <c r="GN6" s="85"/>
      <c r="GO6" s="85"/>
      <c r="GP6" s="85"/>
      <c r="GQ6" s="85"/>
      <c r="GR6" s="85"/>
      <c r="GS6" s="85"/>
      <c r="GT6" s="85"/>
      <c r="GU6" s="85"/>
      <c r="GV6" s="85"/>
      <c r="GW6" s="85"/>
      <c r="GX6" s="85"/>
      <c r="GY6" s="85"/>
      <c r="GZ6" s="85"/>
      <c r="HA6" s="85"/>
      <c r="HB6" s="87"/>
      <c r="HC6" s="190" t="s">
        <v>50</v>
      </c>
      <c r="HD6" s="85"/>
      <c r="HE6" s="86" t="s">
        <v>67</v>
      </c>
      <c r="HF6" s="85"/>
      <c r="HG6" s="85"/>
      <c r="HH6" s="85"/>
      <c r="HI6" s="85"/>
      <c r="HJ6" s="87"/>
      <c r="HK6" s="85" t="s">
        <v>68</v>
      </c>
      <c r="HL6" s="86" t="s">
        <v>69</v>
      </c>
      <c r="HM6" s="85"/>
      <c r="HN6" s="85"/>
      <c r="HO6" s="85"/>
      <c r="HP6" s="85"/>
      <c r="HQ6" s="85"/>
      <c r="HR6" s="85"/>
      <c r="HS6" s="87"/>
      <c r="HT6" s="85" t="s">
        <v>60</v>
      </c>
      <c r="HU6" s="85"/>
      <c r="HV6" s="85"/>
      <c r="HW6" s="85"/>
      <c r="HX6" s="85"/>
      <c r="HY6" s="85"/>
      <c r="HZ6" s="86" t="s">
        <v>70</v>
      </c>
      <c r="IA6" s="85"/>
      <c r="IB6" s="85"/>
      <c r="IC6" s="85"/>
      <c r="ID6" s="85"/>
      <c r="IE6" s="85"/>
      <c r="IF6" s="85"/>
      <c r="IG6" s="85"/>
      <c r="IH6" s="85"/>
      <c r="II6" s="87"/>
      <c r="IJ6" s="85" t="s">
        <v>71</v>
      </c>
      <c r="IK6" s="85"/>
      <c r="IL6" s="85"/>
      <c r="IM6" s="85"/>
      <c r="IN6" s="85"/>
      <c r="IO6" s="85"/>
      <c r="IP6" s="85"/>
      <c r="IQ6" s="85"/>
      <c r="IR6" s="85"/>
      <c r="IS6" s="85"/>
      <c r="IT6" s="85"/>
      <c r="IU6" s="85"/>
      <c r="IV6" s="85"/>
      <c r="IW6" s="85"/>
      <c r="IX6" s="85"/>
      <c r="IY6" s="191" t="s">
        <v>72</v>
      </c>
      <c r="IZ6" s="87"/>
      <c r="JA6" s="296" t="s">
        <v>73</v>
      </c>
      <c r="JB6" s="85"/>
      <c r="JC6" s="85"/>
      <c r="JD6" s="191" t="s">
        <v>50</v>
      </c>
      <c r="JE6" s="87"/>
      <c r="JF6" s="190" t="s">
        <v>74</v>
      </c>
      <c r="JG6" s="86" t="s">
        <v>75</v>
      </c>
      <c r="JH6" s="85"/>
      <c r="JI6" s="85"/>
      <c r="JJ6" s="85"/>
      <c r="JK6" s="85"/>
      <c r="JL6" s="85"/>
      <c r="JM6" s="85"/>
      <c r="JN6" s="85"/>
      <c r="JO6" s="85"/>
      <c r="JP6" s="85"/>
      <c r="JQ6" s="87"/>
      <c r="JR6" s="190" t="s">
        <v>76</v>
      </c>
      <c r="JS6" s="86" t="s">
        <v>77</v>
      </c>
      <c r="JT6" s="85"/>
      <c r="JU6" s="85"/>
      <c r="JV6" s="85"/>
      <c r="JW6" s="85"/>
      <c r="JX6" s="87"/>
      <c r="JY6" s="85" t="s">
        <v>455</v>
      </c>
      <c r="JZ6" s="85"/>
      <c r="KA6" s="85"/>
      <c r="KB6" s="86" t="s">
        <v>456</v>
      </c>
      <c r="KC6" s="85"/>
      <c r="KD6" s="85"/>
      <c r="KE6" s="85"/>
      <c r="KF6" s="85"/>
      <c r="KG6" s="85"/>
      <c r="KH6" s="85"/>
      <c r="KI6" s="87"/>
      <c r="KJ6" s="85" t="s">
        <v>457</v>
      </c>
      <c r="KK6" s="85"/>
      <c r="KL6" s="85"/>
      <c r="KM6" s="85"/>
      <c r="KN6" s="85"/>
      <c r="KO6" s="86" t="s">
        <v>51</v>
      </c>
      <c r="KP6" s="85"/>
      <c r="KQ6" s="85"/>
      <c r="KR6" s="85"/>
      <c r="KS6" s="85"/>
      <c r="KT6" s="87"/>
      <c r="KU6" s="85" t="s">
        <v>47</v>
      </c>
      <c r="KV6" s="85"/>
      <c r="KW6" s="85"/>
      <c r="KX6" s="85"/>
      <c r="KY6" s="85"/>
      <c r="KZ6" s="85"/>
      <c r="LA6" s="85"/>
      <c r="LB6" s="85"/>
      <c r="LC6" s="85"/>
      <c r="LD6" s="85"/>
      <c r="LE6" s="85"/>
      <c r="LF6" s="87"/>
    </row>
    <row r="7" spans="1:330" s="1" customFormat="1" ht="18" customHeight="1" x14ac:dyDescent="0.3">
      <c r="A7" s="363"/>
      <c r="B7" s="366"/>
      <c r="C7" s="366"/>
      <c r="D7" s="366"/>
      <c r="E7" s="366"/>
      <c r="F7" s="366"/>
      <c r="G7" s="366"/>
      <c r="H7" s="357"/>
      <c r="I7" s="357"/>
      <c r="J7" s="88" t="s">
        <v>78</v>
      </c>
      <c r="K7" s="88" t="s">
        <v>79</v>
      </c>
      <c r="L7" s="88" t="s">
        <v>80</v>
      </c>
      <c r="M7" s="88" t="s">
        <v>81</v>
      </c>
      <c r="N7" s="88" t="s">
        <v>82</v>
      </c>
      <c r="O7" s="88" t="s">
        <v>83</v>
      </c>
      <c r="P7" s="88" t="s">
        <v>84</v>
      </c>
      <c r="Q7" s="88" t="s">
        <v>78</v>
      </c>
      <c r="R7" s="88" t="s">
        <v>79</v>
      </c>
      <c r="S7" s="88" t="s">
        <v>80</v>
      </c>
      <c r="T7" s="88" t="s">
        <v>81</v>
      </c>
      <c r="U7" s="88" t="s">
        <v>82</v>
      </c>
      <c r="V7" s="88" t="s">
        <v>83</v>
      </c>
      <c r="W7" s="90" t="s">
        <v>84</v>
      </c>
      <c r="X7" s="89" t="s">
        <v>78</v>
      </c>
      <c r="Y7" s="88" t="s">
        <v>81</v>
      </c>
      <c r="Z7" s="88" t="s">
        <v>80</v>
      </c>
      <c r="AA7" s="88" t="s">
        <v>82</v>
      </c>
      <c r="AB7" s="88" t="s">
        <v>85</v>
      </c>
      <c r="AC7" s="88" t="s">
        <v>78</v>
      </c>
      <c r="AD7" s="88" t="s">
        <v>84</v>
      </c>
      <c r="AE7" s="126" t="s">
        <v>86</v>
      </c>
      <c r="AF7" s="127" t="s">
        <v>87</v>
      </c>
      <c r="AG7" s="126" t="s">
        <v>78</v>
      </c>
      <c r="AH7" s="88" t="s">
        <v>79</v>
      </c>
      <c r="AI7" s="88" t="s">
        <v>80</v>
      </c>
      <c r="AJ7" s="88" t="s">
        <v>81</v>
      </c>
      <c r="AK7" s="88" t="s">
        <v>82</v>
      </c>
      <c r="AL7" s="88" t="s">
        <v>83</v>
      </c>
      <c r="AM7" s="88" t="s">
        <v>84</v>
      </c>
      <c r="AN7" s="88" t="s">
        <v>85</v>
      </c>
      <c r="AO7" s="88" t="s">
        <v>79</v>
      </c>
      <c r="AP7" s="88" t="s">
        <v>88</v>
      </c>
      <c r="AQ7" s="88" t="s">
        <v>89</v>
      </c>
      <c r="AR7" s="130" t="s">
        <v>85</v>
      </c>
      <c r="AS7" s="88" t="s">
        <v>84</v>
      </c>
      <c r="AT7" s="88" t="s">
        <v>89</v>
      </c>
      <c r="AU7" s="88" t="s">
        <v>90</v>
      </c>
      <c r="AV7" s="89" t="s">
        <v>78</v>
      </c>
      <c r="AW7" s="88" t="s">
        <v>79</v>
      </c>
      <c r="AX7" s="88" t="s">
        <v>80</v>
      </c>
      <c r="AY7" s="88" t="s">
        <v>81</v>
      </c>
      <c r="AZ7" s="88" t="s">
        <v>82</v>
      </c>
      <c r="BA7" s="88" t="s">
        <v>83</v>
      </c>
      <c r="BB7" s="88" t="s">
        <v>84</v>
      </c>
      <c r="BC7" s="88" t="s">
        <v>91</v>
      </c>
      <c r="BD7" s="88" t="s">
        <v>79</v>
      </c>
      <c r="BE7" s="88" t="s">
        <v>80</v>
      </c>
      <c r="BF7" s="88" t="s">
        <v>88</v>
      </c>
      <c r="BG7" s="88" t="s">
        <v>89</v>
      </c>
      <c r="BH7" s="88" t="s">
        <v>85</v>
      </c>
      <c r="BI7" s="90" t="s">
        <v>91</v>
      </c>
      <c r="BJ7" s="194" t="s">
        <v>86</v>
      </c>
      <c r="BK7" s="194" t="s">
        <v>87</v>
      </c>
      <c r="BL7" s="195" t="s">
        <v>92</v>
      </c>
      <c r="BM7" s="196" t="s">
        <v>93</v>
      </c>
      <c r="BN7" s="194" t="s">
        <v>84</v>
      </c>
      <c r="BO7" s="194" t="s">
        <v>89</v>
      </c>
      <c r="BP7" s="195" t="s">
        <v>85</v>
      </c>
      <c r="BQ7" s="194" t="s">
        <v>94</v>
      </c>
      <c r="BR7" s="194" t="s">
        <v>91</v>
      </c>
      <c r="BS7" s="194" t="s">
        <v>95</v>
      </c>
      <c r="BT7" s="194" t="s">
        <v>96</v>
      </c>
      <c r="BU7" s="196" t="s">
        <v>97</v>
      </c>
      <c r="BV7" s="194" t="s">
        <v>84</v>
      </c>
      <c r="BW7" s="195" t="s">
        <v>85</v>
      </c>
      <c r="BX7" s="196" t="s">
        <v>86</v>
      </c>
      <c r="BY7" s="194" t="s">
        <v>98</v>
      </c>
      <c r="BZ7" s="194" t="s">
        <v>93</v>
      </c>
      <c r="CA7" s="195" t="s">
        <v>95</v>
      </c>
      <c r="CB7" s="196" t="s">
        <v>99</v>
      </c>
      <c r="CC7" s="194" t="s">
        <v>91</v>
      </c>
      <c r="CD7" s="195" t="s">
        <v>100</v>
      </c>
      <c r="CE7" s="194" t="s">
        <v>91</v>
      </c>
      <c r="CF7" s="194" t="s">
        <v>101</v>
      </c>
      <c r="CG7" s="194" t="s">
        <v>96</v>
      </c>
      <c r="CH7" s="196" t="s">
        <v>102</v>
      </c>
      <c r="CI7" s="197" t="s">
        <v>93</v>
      </c>
      <c r="CJ7" s="194" t="s">
        <v>80</v>
      </c>
      <c r="CK7" s="194" t="s">
        <v>82</v>
      </c>
      <c r="CL7" s="194" t="s">
        <v>98</v>
      </c>
      <c r="CM7" s="194" t="s">
        <v>88</v>
      </c>
      <c r="CN7" s="194" t="s">
        <v>83</v>
      </c>
      <c r="CO7" s="194" t="s">
        <v>91</v>
      </c>
      <c r="CP7" s="194" t="s">
        <v>95</v>
      </c>
      <c r="CQ7" s="194" t="s">
        <v>81</v>
      </c>
      <c r="CR7" s="194" t="s">
        <v>103</v>
      </c>
      <c r="CS7" s="194" t="s">
        <v>104</v>
      </c>
      <c r="CT7" s="194" t="s">
        <v>101</v>
      </c>
      <c r="CU7" s="194" t="s">
        <v>89</v>
      </c>
      <c r="CV7" s="194" t="s">
        <v>87</v>
      </c>
      <c r="CW7" s="194" t="s">
        <v>96</v>
      </c>
      <c r="CX7" s="194" t="s">
        <v>97</v>
      </c>
      <c r="CY7" s="194" t="s">
        <v>83</v>
      </c>
      <c r="CZ7" s="195" t="s">
        <v>84</v>
      </c>
      <c r="DA7" s="196" t="s">
        <v>89</v>
      </c>
      <c r="DB7" s="194" t="s">
        <v>91</v>
      </c>
      <c r="DC7" s="194" t="s">
        <v>84</v>
      </c>
      <c r="DD7" s="194" t="s">
        <v>95</v>
      </c>
      <c r="DE7" s="194" t="s">
        <v>89</v>
      </c>
      <c r="DF7" s="194" t="s">
        <v>96</v>
      </c>
      <c r="DG7" s="194" t="s">
        <v>90</v>
      </c>
      <c r="DH7" s="194" t="s">
        <v>97</v>
      </c>
      <c r="DI7" s="195" t="s">
        <v>80</v>
      </c>
      <c r="DJ7" s="194" t="s">
        <v>98</v>
      </c>
      <c r="DK7" s="194" t="s">
        <v>100</v>
      </c>
      <c r="DL7" s="194" t="s">
        <v>82</v>
      </c>
      <c r="DM7" s="194" t="s">
        <v>88</v>
      </c>
      <c r="DN7" s="194" t="s">
        <v>83</v>
      </c>
      <c r="DO7" s="194" t="s">
        <v>85</v>
      </c>
      <c r="DP7" s="194" t="s">
        <v>96</v>
      </c>
      <c r="DQ7" s="194" t="s">
        <v>80</v>
      </c>
      <c r="DR7" s="194" t="s">
        <v>103</v>
      </c>
      <c r="DS7" s="194" t="s">
        <v>101</v>
      </c>
      <c r="DT7" s="194" t="s">
        <v>81</v>
      </c>
      <c r="DU7" s="194" t="s">
        <v>104</v>
      </c>
      <c r="DV7" s="194" t="s">
        <v>84</v>
      </c>
      <c r="DW7" s="194" t="s">
        <v>91</v>
      </c>
      <c r="DX7" s="196" t="s">
        <v>102</v>
      </c>
      <c r="DY7" s="194" t="s">
        <v>93</v>
      </c>
      <c r="DZ7" s="194" t="s">
        <v>92</v>
      </c>
      <c r="EA7" s="194" t="s">
        <v>78</v>
      </c>
      <c r="EB7" s="194" t="s">
        <v>79</v>
      </c>
      <c r="EC7" s="194" t="s">
        <v>93</v>
      </c>
      <c r="ED7" s="194" t="s">
        <v>81</v>
      </c>
      <c r="EE7" s="194" t="s">
        <v>82</v>
      </c>
      <c r="EF7" s="194" t="s">
        <v>83</v>
      </c>
      <c r="EG7" s="194" t="s">
        <v>84</v>
      </c>
      <c r="EH7" s="194" t="s">
        <v>78</v>
      </c>
      <c r="EI7" s="194" t="s">
        <v>79</v>
      </c>
      <c r="EJ7" s="194" t="s">
        <v>93</v>
      </c>
      <c r="EK7" s="194" t="s">
        <v>88</v>
      </c>
      <c r="EL7" s="194" t="s">
        <v>104</v>
      </c>
      <c r="EM7" s="194" t="s">
        <v>85</v>
      </c>
      <c r="EN7" s="195" t="s">
        <v>84</v>
      </c>
      <c r="EO7" s="194" t="s">
        <v>89</v>
      </c>
      <c r="EP7" s="196" t="s">
        <v>90</v>
      </c>
      <c r="EQ7" s="194" t="s">
        <v>80</v>
      </c>
      <c r="ER7" s="194" t="s">
        <v>98</v>
      </c>
      <c r="ES7" s="194" t="s">
        <v>93</v>
      </c>
      <c r="ET7" s="194" t="s">
        <v>82</v>
      </c>
      <c r="EU7" s="194" t="s">
        <v>88</v>
      </c>
      <c r="EV7" s="194" t="s">
        <v>84</v>
      </c>
      <c r="EW7" s="194" t="s">
        <v>85</v>
      </c>
      <c r="EX7" s="194" t="s">
        <v>102</v>
      </c>
      <c r="EY7" s="194" t="s">
        <v>80</v>
      </c>
      <c r="EZ7" s="194" t="s">
        <v>98</v>
      </c>
      <c r="FA7" s="194" t="s">
        <v>93</v>
      </c>
      <c r="FB7" s="194" t="s">
        <v>81</v>
      </c>
      <c r="FC7" s="194" t="s">
        <v>104</v>
      </c>
      <c r="FD7" s="194" t="s">
        <v>89</v>
      </c>
      <c r="FE7" s="194" t="s">
        <v>91</v>
      </c>
      <c r="FF7" s="196" t="s">
        <v>96</v>
      </c>
      <c r="FG7" s="194" t="s">
        <v>82</v>
      </c>
      <c r="FH7" s="194" t="s">
        <v>81</v>
      </c>
      <c r="FI7" s="194" t="s">
        <v>88</v>
      </c>
      <c r="FJ7" s="194" t="s">
        <v>105</v>
      </c>
      <c r="FK7" s="194" t="s">
        <v>83</v>
      </c>
      <c r="FL7" s="194" t="s">
        <v>84</v>
      </c>
      <c r="FM7" s="195" t="s">
        <v>80</v>
      </c>
      <c r="FN7" s="194" t="s">
        <v>93</v>
      </c>
      <c r="FO7" s="196" t="s">
        <v>106</v>
      </c>
      <c r="FP7" s="194" t="s">
        <v>82</v>
      </c>
      <c r="FQ7" s="194" t="s">
        <v>88</v>
      </c>
      <c r="FR7" s="194" t="s">
        <v>83</v>
      </c>
      <c r="FS7" s="194" t="s">
        <v>84</v>
      </c>
      <c r="FT7" s="194" t="s">
        <v>85</v>
      </c>
      <c r="FU7" s="194" t="s">
        <v>96</v>
      </c>
      <c r="FV7" s="194" t="s">
        <v>95</v>
      </c>
      <c r="FW7" s="194" t="s">
        <v>81</v>
      </c>
      <c r="FX7" s="194" t="s">
        <v>104</v>
      </c>
      <c r="FY7" s="194" t="s">
        <v>88</v>
      </c>
      <c r="FZ7" s="194" t="s">
        <v>101</v>
      </c>
      <c r="GA7" s="194" t="s">
        <v>83</v>
      </c>
      <c r="GB7" s="194" t="s">
        <v>91</v>
      </c>
      <c r="GC7" s="194" t="s">
        <v>96</v>
      </c>
      <c r="GD7" s="194" t="s">
        <v>97</v>
      </c>
      <c r="GE7" s="195" t="s">
        <v>80</v>
      </c>
      <c r="GF7" s="194" t="s">
        <v>79</v>
      </c>
      <c r="GG7" s="194" t="s">
        <v>82</v>
      </c>
      <c r="GH7" s="194" t="s">
        <v>88</v>
      </c>
      <c r="GI7" s="194" t="s">
        <v>83</v>
      </c>
      <c r="GJ7" s="194" t="s">
        <v>100</v>
      </c>
      <c r="GK7" s="194" t="s">
        <v>85</v>
      </c>
      <c r="GL7" s="194" t="s">
        <v>91</v>
      </c>
      <c r="GM7" s="194" t="s">
        <v>80</v>
      </c>
      <c r="GN7" s="194" t="s">
        <v>81</v>
      </c>
      <c r="GO7" s="194" t="s">
        <v>79</v>
      </c>
      <c r="GP7" s="194" t="s">
        <v>104</v>
      </c>
      <c r="GQ7" s="194" t="s">
        <v>107</v>
      </c>
      <c r="GR7" s="194" t="s">
        <v>84</v>
      </c>
      <c r="GS7" s="194" t="s">
        <v>91</v>
      </c>
      <c r="GT7" s="194" t="s">
        <v>102</v>
      </c>
      <c r="GU7" s="194" t="s">
        <v>108</v>
      </c>
      <c r="GV7" s="194" t="s">
        <v>80</v>
      </c>
      <c r="GW7" s="194" t="s">
        <v>82</v>
      </c>
      <c r="GX7" s="194" t="s">
        <v>109</v>
      </c>
      <c r="GY7" s="194" t="s">
        <v>88</v>
      </c>
      <c r="GZ7" s="194" t="s">
        <v>83</v>
      </c>
      <c r="HA7" s="194" t="s">
        <v>85</v>
      </c>
      <c r="HB7" s="196" t="s">
        <v>96</v>
      </c>
      <c r="HC7" s="194" t="s">
        <v>86</v>
      </c>
      <c r="HD7" s="194" t="s">
        <v>87</v>
      </c>
      <c r="HE7" s="195" t="s">
        <v>110</v>
      </c>
      <c r="HF7" s="194" t="s">
        <v>111</v>
      </c>
      <c r="HG7" s="194" t="s">
        <v>112</v>
      </c>
      <c r="HH7" s="194" t="s">
        <v>113</v>
      </c>
      <c r="HI7" s="194" t="s">
        <v>114</v>
      </c>
      <c r="HJ7" s="196" t="s">
        <v>105</v>
      </c>
      <c r="HK7" s="194" t="s">
        <v>93</v>
      </c>
      <c r="HL7" s="195" t="s">
        <v>91</v>
      </c>
      <c r="HM7" s="194" t="s">
        <v>96</v>
      </c>
      <c r="HN7" s="194" t="s">
        <v>102</v>
      </c>
      <c r="HO7" s="194" t="s">
        <v>84</v>
      </c>
      <c r="HP7" s="194" t="s">
        <v>89</v>
      </c>
      <c r="HQ7" s="194" t="s">
        <v>90</v>
      </c>
      <c r="HR7" s="194" t="s">
        <v>100</v>
      </c>
      <c r="HS7" s="196" t="s">
        <v>101</v>
      </c>
      <c r="HT7" s="194" t="s">
        <v>83</v>
      </c>
      <c r="HU7" s="194" t="s">
        <v>82</v>
      </c>
      <c r="HV7" s="194" t="s">
        <v>85</v>
      </c>
      <c r="HW7" s="194" t="s">
        <v>84</v>
      </c>
      <c r="HX7" s="194" t="s">
        <v>81</v>
      </c>
      <c r="HY7" s="194" t="s">
        <v>91</v>
      </c>
      <c r="HZ7" s="195" t="s">
        <v>96</v>
      </c>
      <c r="IA7" s="194" t="s">
        <v>93</v>
      </c>
      <c r="IB7" s="194" t="s">
        <v>98</v>
      </c>
      <c r="IC7" s="194" t="s">
        <v>91</v>
      </c>
      <c r="ID7" s="194" t="s">
        <v>82</v>
      </c>
      <c r="IE7" s="194" t="s">
        <v>100</v>
      </c>
      <c r="IF7" s="194" t="s">
        <v>88</v>
      </c>
      <c r="IG7" s="194" t="s">
        <v>87</v>
      </c>
      <c r="IH7" s="194" t="s">
        <v>102</v>
      </c>
      <c r="II7" s="196" t="s">
        <v>101</v>
      </c>
      <c r="IJ7" s="194" t="s">
        <v>82</v>
      </c>
      <c r="IK7" s="194" t="s">
        <v>81</v>
      </c>
      <c r="IL7" s="194" t="s">
        <v>83</v>
      </c>
      <c r="IM7" s="194" t="s">
        <v>82</v>
      </c>
      <c r="IN7" s="194" t="s">
        <v>88</v>
      </c>
      <c r="IO7" s="194" t="s">
        <v>115</v>
      </c>
      <c r="IP7" s="194" t="s">
        <v>84</v>
      </c>
      <c r="IQ7" s="194" t="s">
        <v>86</v>
      </c>
      <c r="IR7" s="194" t="s">
        <v>96</v>
      </c>
      <c r="IS7" s="194" t="s">
        <v>82</v>
      </c>
      <c r="IT7" s="194" t="s">
        <v>104</v>
      </c>
      <c r="IU7" s="194" t="s">
        <v>87</v>
      </c>
      <c r="IV7" s="194" t="s">
        <v>116</v>
      </c>
      <c r="IW7" s="194" t="s">
        <v>89</v>
      </c>
      <c r="IX7" s="194" t="s">
        <v>96</v>
      </c>
      <c r="IY7" s="195" t="s">
        <v>104</v>
      </c>
      <c r="IZ7" s="196" t="s">
        <v>108</v>
      </c>
      <c r="JA7" s="194" t="s">
        <v>91</v>
      </c>
      <c r="JB7" s="194" t="s">
        <v>91</v>
      </c>
      <c r="JC7" s="194" t="s">
        <v>96</v>
      </c>
      <c r="JD7" s="195" t="s">
        <v>91</v>
      </c>
      <c r="JE7" s="196" t="s">
        <v>96</v>
      </c>
      <c r="JF7" s="194" t="s">
        <v>95</v>
      </c>
      <c r="JG7" s="195" t="s">
        <v>80</v>
      </c>
      <c r="JH7" s="194" t="s">
        <v>82</v>
      </c>
      <c r="JI7" s="194" t="s">
        <v>88</v>
      </c>
      <c r="JJ7" s="194" t="s">
        <v>83</v>
      </c>
      <c r="JK7" s="194" t="s">
        <v>85</v>
      </c>
      <c r="JL7" s="194" t="s">
        <v>96</v>
      </c>
      <c r="JM7" s="194" t="s">
        <v>80</v>
      </c>
      <c r="JN7" s="194" t="s">
        <v>81</v>
      </c>
      <c r="JO7" s="194" t="s">
        <v>104</v>
      </c>
      <c r="JP7" s="194" t="s">
        <v>84</v>
      </c>
      <c r="JQ7" s="196" t="s">
        <v>91</v>
      </c>
      <c r="JR7" s="194" t="s">
        <v>117</v>
      </c>
      <c r="JS7" s="195" t="s">
        <v>78</v>
      </c>
      <c r="JT7" s="194" t="s">
        <v>82</v>
      </c>
      <c r="JU7" s="194" t="s">
        <v>80</v>
      </c>
      <c r="JV7" s="194" t="s">
        <v>88</v>
      </c>
      <c r="JW7" s="194" t="s">
        <v>84</v>
      </c>
      <c r="JX7" s="196" t="s">
        <v>85</v>
      </c>
      <c r="JY7" s="194" t="s">
        <v>84</v>
      </c>
      <c r="JZ7" s="194" t="s">
        <v>89</v>
      </c>
      <c r="KA7" s="194" t="s">
        <v>90</v>
      </c>
      <c r="KB7" s="195" t="s">
        <v>78</v>
      </c>
      <c r="KC7" s="194" t="s">
        <v>82</v>
      </c>
      <c r="KD7" s="194" t="s">
        <v>88</v>
      </c>
      <c r="KE7" s="194" t="s">
        <v>84</v>
      </c>
      <c r="KF7" s="194" t="s">
        <v>78</v>
      </c>
      <c r="KG7" s="194" t="s">
        <v>82</v>
      </c>
      <c r="KH7" s="194" t="s">
        <v>88</v>
      </c>
      <c r="KI7" s="196" t="s">
        <v>84</v>
      </c>
      <c r="KJ7" s="194" t="s">
        <v>458</v>
      </c>
      <c r="KK7" s="194" t="s">
        <v>459</v>
      </c>
      <c r="KL7" s="194" t="s">
        <v>434</v>
      </c>
      <c r="KM7" s="194" t="s">
        <v>460</v>
      </c>
      <c r="KN7" s="194" t="s">
        <v>434</v>
      </c>
      <c r="KO7" s="195" t="s">
        <v>84</v>
      </c>
      <c r="KP7" s="194" t="s">
        <v>89</v>
      </c>
      <c r="KQ7" s="194" t="s">
        <v>91</v>
      </c>
      <c r="KR7" s="194" t="s">
        <v>100</v>
      </c>
      <c r="KS7" s="194" t="s">
        <v>96</v>
      </c>
      <c r="KT7" s="196" t="s">
        <v>101</v>
      </c>
      <c r="KU7" s="194" t="s">
        <v>78</v>
      </c>
      <c r="KV7" s="194" t="s">
        <v>81</v>
      </c>
      <c r="KW7" s="194" t="s">
        <v>80</v>
      </c>
      <c r="KX7" s="194" t="s">
        <v>82</v>
      </c>
      <c r="KY7" s="194" t="s">
        <v>83</v>
      </c>
      <c r="KZ7" s="194" t="s">
        <v>85</v>
      </c>
      <c r="LA7" s="194" t="s">
        <v>79</v>
      </c>
      <c r="LB7" s="194" t="s">
        <v>81</v>
      </c>
      <c r="LC7" s="194" t="s">
        <v>98</v>
      </c>
      <c r="LD7" s="194" t="s">
        <v>82</v>
      </c>
      <c r="LE7" s="194" t="s">
        <v>88</v>
      </c>
      <c r="LF7" s="196" t="s">
        <v>84</v>
      </c>
    </row>
    <row r="8" spans="1:330" s="72" customFormat="1" ht="18" customHeight="1" x14ac:dyDescent="0.25">
      <c r="A8" s="14">
        <v>1</v>
      </c>
      <c r="B8" s="13" t="s">
        <v>388</v>
      </c>
      <c r="C8" s="1">
        <v>7853</v>
      </c>
      <c r="D8" t="s">
        <v>389</v>
      </c>
      <c r="E8" s="1">
        <v>9541</v>
      </c>
      <c r="F8" s="1">
        <v>2012</v>
      </c>
      <c r="G8" t="s">
        <v>146</v>
      </c>
      <c r="H8" s="1">
        <f>SUM(J8:LF8)</f>
        <v>176.39999999999998</v>
      </c>
      <c r="I8" s="14">
        <f>Tabuľka110[[#This Row],[Stĺpec33]]+Tabuľka110[[#This Row],[Stĺpec56]]+Tabuľka110[[#This Row],[Stĺpec124]]+Tabuľka110[[#This Row],[Stĺpec220]]+Tabuľka110[[#This Row],[Stĺpec211]]+Tabuľka110[[#This Row],[Stĺpec203]]+Tabuľka110[[#This Row],[Stĺpec202]]+Tabuľka110[[#This Row],[Stĺpec278]]+Tabuľka110[[#This Row],[Stĺpec275]]+Tabuľka110[[#This Row],[Stĺpec274]]+Tabuľka110[[#This Row],[Stĺpec269]]+Tabuľka110[[#This Row],[Stĺpec268]]+Tabuľka110[[#This Row],[Stĺpec310]]+Tabuľka110[[#This Row],[Stĺpec300]]+Tabuľka110[[#This Row],[Stĺpec299]]</f>
        <v>104.2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>
        <v>6</v>
      </c>
      <c r="AH8" s="1">
        <v>2</v>
      </c>
      <c r="AI8" s="1"/>
      <c r="AJ8" s="1"/>
      <c r="AK8" s="1"/>
      <c r="AL8" s="1"/>
      <c r="AM8" s="1"/>
      <c r="AN8" s="1"/>
      <c r="AO8" s="1">
        <v>4</v>
      </c>
      <c r="AP8" s="11">
        <v>3</v>
      </c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>
        <v>3</v>
      </c>
      <c r="BE8" s="1"/>
      <c r="BF8" s="1">
        <v>6</v>
      </c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>
        <v>3</v>
      </c>
      <c r="DM8" s="1">
        <v>4</v>
      </c>
      <c r="DN8" s="1"/>
      <c r="DO8" s="1"/>
      <c r="DP8" s="1"/>
      <c r="DQ8" s="1"/>
      <c r="DR8" s="1"/>
      <c r="DS8" s="1"/>
      <c r="DT8" s="1">
        <f>3+1</f>
        <v>4</v>
      </c>
      <c r="DU8" s="1">
        <f>4+1</f>
        <v>5</v>
      </c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>
        <f>0+2</f>
        <v>2</v>
      </c>
      <c r="EI8" s="1"/>
      <c r="EJ8" s="1"/>
      <c r="EK8" s="1">
        <f>0+1</f>
        <v>1</v>
      </c>
      <c r="EL8" s="1"/>
      <c r="EM8" s="1"/>
      <c r="EN8" s="1"/>
      <c r="EO8" s="1"/>
      <c r="EP8" s="1"/>
      <c r="EQ8" s="1"/>
      <c r="ER8" s="1"/>
      <c r="ES8" s="1"/>
      <c r="ET8" s="1">
        <f>3+1</f>
        <v>4</v>
      </c>
      <c r="EU8" s="1">
        <v>4</v>
      </c>
      <c r="EV8" s="1"/>
      <c r="EW8" s="1"/>
      <c r="EX8" s="1"/>
      <c r="EY8" s="1"/>
      <c r="EZ8" s="1"/>
      <c r="FA8" s="1"/>
      <c r="FB8" s="1">
        <v>3</v>
      </c>
      <c r="FC8" s="1">
        <v>4</v>
      </c>
      <c r="FD8" s="1"/>
      <c r="FE8" s="1"/>
      <c r="FF8" s="1"/>
      <c r="FG8" s="268"/>
      <c r="FH8" s="268"/>
      <c r="FI8" s="268"/>
      <c r="FJ8" s="268"/>
      <c r="FK8" s="268"/>
      <c r="FL8" s="264"/>
      <c r="FM8" s="268"/>
      <c r="FN8" s="268"/>
      <c r="FO8" s="264"/>
      <c r="FP8" s="268"/>
      <c r="FQ8" s="268"/>
      <c r="FR8" s="268"/>
      <c r="FS8" s="268"/>
      <c r="FT8" s="268"/>
      <c r="FU8" s="268"/>
      <c r="FV8" s="268"/>
      <c r="FW8" s="268"/>
      <c r="FX8" s="268"/>
      <c r="FY8" s="268"/>
      <c r="FZ8" s="268"/>
      <c r="GA8" s="268"/>
      <c r="GB8" s="268"/>
      <c r="GC8" s="268"/>
      <c r="GD8" s="264"/>
      <c r="GE8" s="268"/>
      <c r="GF8" s="268">
        <f>3+3</f>
        <v>6</v>
      </c>
      <c r="GG8" s="268">
        <f>3+1</f>
        <v>4</v>
      </c>
      <c r="GH8" s="268"/>
      <c r="GI8" s="268"/>
      <c r="GJ8" s="268"/>
      <c r="GK8" s="268"/>
      <c r="GL8" s="268"/>
      <c r="GM8" s="268"/>
      <c r="GN8" s="268"/>
      <c r="GO8" s="268">
        <f>(3+2)*1.2</f>
        <v>6</v>
      </c>
      <c r="GP8" s="268"/>
      <c r="GQ8" s="268"/>
      <c r="GR8" s="268"/>
      <c r="GS8" s="268"/>
      <c r="GT8" s="268"/>
      <c r="GU8" s="268">
        <v>3</v>
      </c>
      <c r="GV8" s="268"/>
      <c r="GW8" s="268">
        <f>3+3</f>
        <v>6</v>
      </c>
      <c r="GX8" s="268">
        <f>(3+3)*1.2</f>
        <v>7.1999999999999993</v>
      </c>
      <c r="GY8" s="268"/>
      <c r="GZ8" s="268"/>
      <c r="HA8" s="268"/>
      <c r="HB8" s="268"/>
      <c r="HC8" s="268"/>
      <c r="HD8" s="268"/>
      <c r="HE8" s="268"/>
      <c r="HF8" s="268"/>
      <c r="HG8" s="268"/>
      <c r="HH8" s="268"/>
      <c r="HI8" s="268"/>
      <c r="HJ8" s="268"/>
      <c r="HK8" s="268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>
        <v>9</v>
      </c>
      <c r="IK8" s="1">
        <v>3</v>
      </c>
      <c r="IL8" s="1"/>
      <c r="IM8" s="1">
        <v>8</v>
      </c>
      <c r="IN8" s="1">
        <v>8</v>
      </c>
      <c r="IO8" s="1"/>
      <c r="IP8" s="1"/>
      <c r="IQ8" s="1"/>
      <c r="IR8" s="1"/>
      <c r="IS8" s="1">
        <v>8</v>
      </c>
      <c r="IT8" s="1">
        <v>6</v>
      </c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1">
        <f>3*1.2</f>
        <v>3.5999999999999996</v>
      </c>
      <c r="JI8" s="1">
        <f>4+1</f>
        <v>5</v>
      </c>
      <c r="JJ8" s="1"/>
      <c r="JK8" s="1"/>
      <c r="JL8" s="1"/>
      <c r="JM8" s="1"/>
      <c r="JN8" s="1">
        <f>3*1.2</f>
        <v>3.5999999999999996</v>
      </c>
      <c r="JO8" s="1">
        <v>4</v>
      </c>
      <c r="JP8" s="1"/>
      <c r="JQ8" s="1"/>
      <c r="JR8" s="1"/>
      <c r="JS8" s="1">
        <v>8</v>
      </c>
      <c r="JT8" s="1">
        <v>5</v>
      </c>
      <c r="JU8" s="1"/>
      <c r="JV8" s="1"/>
      <c r="JW8" s="1"/>
      <c r="JX8" s="1"/>
      <c r="JY8" s="1"/>
      <c r="JZ8" s="1"/>
      <c r="KA8" s="1"/>
      <c r="KB8" s="268"/>
      <c r="KC8" s="268">
        <f>3+6</f>
        <v>9</v>
      </c>
      <c r="KD8" s="268">
        <f>4+2</f>
        <v>6</v>
      </c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</row>
    <row r="9" spans="1:330" s="55" customFormat="1" ht="18" customHeight="1" x14ac:dyDescent="0.25">
      <c r="A9" s="14">
        <v>2</v>
      </c>
      <c r="B9" s="13" t="s">
        <v>391</v>
      </c>
      <c r="C9" s="1">
        <v>7987</v>
      </c>
      <c r="D9" t="s">
        <v>179</v>
      </c>
      <c r="E9" s="1">
        <v>11516</v>
      </c>
      <c r="F9" s="1">
        <v>2015</v>
      </c>
      <c r="G9" s="4" t="s">
        <v>215</v>
      </c>
      <c r="H9" s="1">
        <f>SUM(J9:LF9)</f>
        <v>40</v>
      </c>
      <c r="I9" s="14">
        <f>H9</f>
        <v>40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>
        <f>3+2</f>
        <v>5</v>
      </c>
      <c r="ER9"/>
      <c r="ES9"/>
      <c r="ET9">
        <f>2+0</f>
        <v>2</v>
      </c>
      <c r="EU9"/>
      <c r="EV9"/>
      <c r="EW9"/>
      <c r="EX9"/>
      <c r="EY9">
        <f>3+4</f>
        <v>7</v>
      </c>
      <c r="EZ9"/>
      <c r="FA9"/>
      <c r="FB9"/>
      <c r="FC9"/>
      <c r="FD9"/>
      <c r="FE9"/>
      <c r="FF9"/>
      <c r="FG9" s="264">
        <f>3+1</f>
        <v>4</v>
      </c>
      <c r="FH9" s="264">
        <v>3</v>
      </c>
      <c r="FI9" s="268"/>
      <c r="FJ9" s="268"/>
      <c r="FK9" s="268"/>
      <c r="FL9" s="264"/>
      <c r="FM9" s="268"/>
      <c r="FN9" s="268"/>
      <c r="FO9" s="264"/>
      <c r="FP9" s="268"/>
      <c r="FQ9" s="268"/>
      <c r="FR9" s="268"/>
      <c r="FS9" s="268"/>
      <c r="FT9" s="268"/>
      <c r="FU9" s="268"/>
      <c r="FV9" s="268"/>
      <c r="FW9" s="268"/>
      <c r="FX9" s="268"/>
      <c r="FY9" s="268"/>
      <c r="FZ9" s="268"/>
      <c r="GA9" s="268"/>
      <c r="GB9" s="268"/>
      <c r="GC9" s="268"/>
      <c r="GD9" s="264"/>
      <c r="GE9" s="268"/>
      <c r="GF9" s="268">
        <f>2+2</f>
        <v>4</v>
      </c>
      <c r="GG9" s="268">
        <v>2</v>
      </c>
      <c r="GH9" s="268"/>
      <c r="GI9" s="268"/>
      <c r="GJ9" s="268"/>
      <c r="GK9" s="268"/>
      <c r="GL9" s="268"/>
      <c r="GM9" s="268">
        <f>3+2</f>
        <v>5</v>
      </c>
      <c r="GN9" s="268"/>
      <c r="GO9" s="268">
        <v>1</v>
      </c>
      <c r="GP9" s="268"/>
      <c r="GQ9" s="268"/>
      <c r="GR9" s="268"/>
      <c r="GS9" s="268"/>
      <c r="GT9" s="268"/>
      <c r="GU9" s="268"/>
      <c r="GV9" s="268"/>
      <c r="GW9" s="268">
        <f>1+1</f>
        <v>2</v>
      </c>
      <c r="GX9" s="268">
        <f>2+3</f>
        <v>5</v>
      </c>
      <c r="GY9" s="268"/>
      <c r="GZ9" s="268"/>
      <c r="HA9" s="268"/>
      <c r="HB9" s="268"/>
      <c r="HC9" s="268"/>
      <c r="HD9" s="268"/>
      <c r="HE9" s="268"/>
      <c r="HF9" s="268"/>
      <c r="HG9" s="268"/>
      <c r="HH9" s="268"/>
      <c r="HI9" s="268"/>
      <c r="HJ9" s="268"/>
      <c r="HK9" s="268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</row>
    <row r="10" spans="1:330" s="55" customFormat="1" ht="18" customHeight="1" x14ac:dyDescent="0.25">
      <c r="A10" s="14">
        <v>3</v>
      </c>
      <c r="B10" s="13" t="s">
        <v>398</v>
      </c>
      <c r="C10" s="1">
        <v>8604</v>
      </c>
      <c r="D10" t="s">
        <v>399</v>
      </c>
      <c r="E10" s="1">
        <v>9547</v>
      </c>
      <c r="F10" s="1"/>
      <c r="G10" t="s">
        <v>137</v>
      </c>
      <c r="H10" s="1">
        <f>SUM(J10:LF10)</f>
        <v>8</v>
      </c>
      <c r="I10" s="14">
        <f>H10</f>
        <v>8</v>
      </c>
      <c r="J10" s="1">
        <v>0</v>
      </c>
      <c r="K10" s="1">
        <v>2</v>
      </c>
      <c r="L10" s="1"/>
      <c r="M10" s="1"/>
      <c r="N10" s="1"/>
      <c r="O10" s="1"/>
      <c r="P10" s="1"/>
      <c r="Q10" s="1">
        <v>0</v>
      </c>
      <c r="R10" s="1">
        <v>0</v>
      </c>
      <c r="S10" s="1"/>
      <c r="T10" s="1"/>
      <c r="U10" s="1"/>
      <c r="V10" s="1"/>
      <c r="W10" s="1"/>
      <c r="X10" s="1">
        <v>0</v>
      </c>
      <c r="Y10" s="1"/>
      <c r="Z10" s="1"/>
      <c r="AA10" s="1"/>
      <c r="AB10" s="1"/>
      <c r="AC10" s="1">
        <v>0</v>
      </c>
      <c r="AD10" s="1"/>
      <c r="AE10" s="1"/>
      <c r="AF10" s="1"/>
      <c r="AG10" s="1">
        <v>2</v>
      </c>
      <c r="AH10" s="1">
        <v>0</v>
      </c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>
        <v>0</v>
      </c>
      <c r="AW10" s="1">
        <v>4</v>
      </c>
      <c r="AX10" s="1"/>
      <c r="AY10" s="1"/>
      <c r="AZ10" s="1"/>
      <c r="BA10" s="1"/>
      <c r="BB10" s="1"/>
      <c r="BC10" s="1"/>
      <c r="BD10" s="1">
        <v>0</v>
      </c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</row>
    <row r="11" spans="1:330" s="12" customFormat="1" ht="18" customHeight="1" x14ac:dyDescent="0.25">
      <c r="A11" s="14">
        <v>4</v>
      </c>
      <c r="B11" s="13" t="s">
        <v>337</v>
      </c>
      <c r="C11" s="1">
        <v>7476</v>
      </c>
      <c r="D11" t="s">
        <v>338</v>
      </c>
      <c r="E11" s="1">
        <v>9719</v>
      </c>
      <c r="F11" s="1">
        <v>2006</v>
      </c>
      <c r="G11" t="s">
        <v>251</v>
      </c>
      <c r="H11" s="1">
        <f>SUM(J11:KJ11)</f>
        <v>4</v>
      </c>
      <c r="I11" s="14">
        <f>H11</f>
        <v>4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>
        <v>2</v>
      </c>
      <c r="JT11" s="1">
        <v>2</v>
      </c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</row>
    <row r="12" spans="1:330" s="12" customFormat="1" ht="18" customHeight="1" x14ac:dyDescent="0.25">
      <c r="A12" s="14">
        <v>5</v>
      </c>
      <c r="B12" s="13" t="s">
        <v>350</v>
      </c>
      <c r="C12" s="1">
        <v>8422</v>
      </c>
      <c r="D12" t="s">
        <v>351</v>
      </c>
      <c r="E12" s="1">
        <v>11277</v>
      </c>
      <c r="F12" s="1">
        <v>2007</v>
      </c>
      <c r="G12" t="s">
        <v>251</v>
      </c>
      <c r="H12" s="1">
        <f t="shared" ref="H12" si="0">SUM(J12:KJ12)</f>
        <v>2</v>
      </c>
      <c r="I12" s="14">
        <f t="shared" ref="I12" si="1">H12</f>
        <v>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>
        <v>1</v>
      </c>
      <c r="JT12" s="1">
        <v>1</v>
      </c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</row>
    <row r="13" spans="1:330" s="12" customFormat="1" ht="18" customHeight="1" x14ac:dyDescent="0.25">
      <c r="A13" s="66"/>
      <c r="B13" s="13" t="s">
        <v>471</v>
      </c>
      <c r="C13" s="1">
        <v>8743</v>
      </c>
      <c r="D13" s="4" t="s">
        <v>472</v>
      </c>
      <c r="E13" s="1">
        <v>10680</v>
      </c>
      <c r="F13" s="1"/>
      <c r="G13" s="4" t="s">
        <v>241</v>
      </c>
      <c r="H13" s="1">
        <f>SUM(J13:LF13)</f>
        <v>2</v>
      </c>
      <c r="I13" s="14">
        <f>H13</f>
        <v>2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274"/>
      <c r="IK13" s="274"/>
      <c r="IL13" s="274"/>
      <c r="IM13" s="274"/>
      <c r="IN13" s="274"/>
      <c r="IO13" s="274"/>
      <c r="IP13" s="274"/>
      <c r="IQ13" s="274"/>
      <c r="IR13" s="274"/>
      <c r="IS13" s="274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268">
        <v>1</v>
      </c>
      <c r="KC13" s="268"/>
      <c r="KD13" s="268"/>
      <c r="KE13" s="268"/>
      <c r="KF13" s="268">
        <v>1</v>
      </c>
      <c r="KG13" s="274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</row>
    <row r="14" spans="1:330" s="12" customFormat="1" ht="18" customHeight="1" x14ac:dyDescent="0.25">
      <c r="A14" s="14">
        <v>7</v>
      </c>
      <c r="B14" s="13" t="s">
        <v>339</v>
      </c>
      <c r="C14" s="1">
        <v>7442</v>
      </c>
      <c r="D14" t="s">
        <v>340</v>
      </c>
      <c r="E14" s="1">
        <v>10793</v>
      </c>
      <c r="F14" s="1"/>
      <c r="G14" t="s">
        <v>221</v>
      </c>
      <c r="H14" s="1">
        <f>SUM(J14:LR14)</f>
        <v>1</v>
      </c>
      <c r="I14" s="14">
        <f>H14</f>
        <v>1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>
        <v>1</v>
      </c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</row>
    <row r="15" spans="1:330" s="55" customFormat="1" ht="18" customHeight="1" x14ac:dyDescent="0.25">
      <c r="A15" s="14">
        <v>8</v>
      </c>
      <c r="B15" s="13" t="s">
        <v>428</v>
      </c>
      <c r="C15" s="1">
        <v>8426</v>
      </c>
      <c r="D15" t="s">
        <v>338</v>
      </c>
      <c r="E15" s="1">
        <v>9719</v>
      </c>
      <c r="F15" s="1">
        <v>2006</v>
      </c>
      <c r="G15" t="s">
        <v>251</v>
      </c>
      <c r="H15" s="1">
        <f>SUM(J15:LF15)</f>
        <v>0</v>
      </c>
      <c r="I15" s="14">
        <f>SUM(H15:H15)</f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</row>
    <row r="16" spans="1:330" s="55" customFormat="1" ht="18" customHeight="1" x14ac:dyDescent="0.25">
      <c r="A16" s="14"/>
      <c r="B16" s="13" t="s">
        <v>421</v>
      </c>
      <c r="C16" s="1">
        <v>8399</v>
      </c>
      <c r="D16" t="s">
        <v>419</v>
      </c>
      <c r="E16" s="1">
        <v>10888</v>
      </c>
      <c r="F16" s="1"/>
      <c r="G16" t="s">
        <v>404</v>
      </c>
      <c r="H16" s="1">
        <f>SUM(J16:LF16)</f>
        <v>0</v>
      </c>
      <c r="I16" s="14">
        <f t="shared" ref="I16" si="2">H16</f>
        <v>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/>
      <c r="EB16">
        <v>0</v>
      </c>
      <c r="EC16"/>
      <c r="ED16"/>
      <c r="EE16"/>
      <c r="EF16"/>
      <c r="EG16"/>
      <c r="EH16"/>
      <c r="EI16"/>
      <c r="EJ16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</row>
    <row r="17" spans="1:318" s="55" customFormat="1" ht="18" customHeight="1" x14ac:dyDescent="0.25">
      <c r="A17" s="14"/>
      <c r="B17" s="13" t="s">
        <v>418</v>
      </c>
      <c r="C17" s="1">
        <v>8621</v>
      </c>
      <c r="D17" t="s">
        <v>419</v>
      </c>
      <c r="E17" s="1">
        <v>10888</v>
      </c>
      <c r="F17" s="1"/>
      <c r="G17" t="s">
        <v>404</v>
      </c>
      <c r="H17" s="1">
        <f>SUM(J17:LF17)</f>
        <v>0</v>
      </c>
      <c r="I17" s="14">
        <f t="shared" ref="I17:I18" si="3">H17</f>
        <v>0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>
        <v>0</v>
      </c>
      <c r="EB17"/>
      <c r="EC17"/>
      <c r="ED17"/>
      <c r="EE17"/>
      <c r="EF17"/>
      <c r="EG17"/>
      <c r="EH17"/>
      <c r="EI17"/>
      <c r="EJ17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</row>
    <row r="18" spans="1:318" s="55" customFormat="1" ht="18" customHeight="1" x14ac:dyDescent="0.25">
      <c r="A18" s="14"/>
      <c r="B18" s="13" t="s">
        <v>422</v>
      </c>
      <c r="C18" s="1">
        <v>9009</v>
      </c>
      <c r="D18" t="s">
        <v>389</v>
      </c>
      <c r="E18" s="1">
        <v>9541</v>
      </c>
      <c r="F18" s="1"/>
      <c r="G18" t="s">
        <v>146</v>
      </c>
      <c r="H18" s="1">
        <f>SUM(J18:LF18)</f>
        <v>0</v>
      </c>
      <c r="I18" s="14">
        <f t="shared" si="3"/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/>
      <c r="EB18"/>
      <c r="EC18"/>
      <c r="ED18"/>
      <c r="EE18"/>
      <c r="EF18"/>
      <c r="EG18"/>
      <c r="EH18">
        <v>0</v>
      </c>
      <c r="EI18"/>
      <c r="EJ18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</row>
    <row r="19" spans="1:318" s="55" customFormat="1" ht="18" customHeight="1" x14ac:dyDescent="0.25">
      <c r="A19" s="14"/>
      <c r="B19" s="13" t="s">
        <v>423</v>
      </c>
      <c r="C19" s="1">
        <v>8872</v>
      </c>
      <c r="D19" t="s">
        <v>424</v>
      </c>
      <c r="E19" s="1">
        <v>11400</v>
      </c>
      <c r="F19" s="1"/>
      <c r="G19" t="s">
        <v>137</v>
      </c>
      <c r="H19" s="1">
        <f>SUM(J19:LF19)</f>
        <v>0</v>
      </c>
      <c r="I19" s="14">
        <f>H19</f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>
        <v>0</v>
      </c>
      <c r="Y19" s="1"/>
      <c r="Z19" s="1"/>
      <c r="AA19" s="1"/>
      <c r="AB19" s="1"/>
      <c r="AC19" s="1">
        <v>0</v>
      </c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</row>
    <row r="20" spans="1:318" s="12" customFormat="1" ht="18" customHeight="1" x14ac:dyDescent="0.25">
      <c r="A20" s="66"/>
      <c r="B20" s="13" t="s">
        <v>473</v>
      </c>
      <c r="C20" s="1">
        <v>8750</v>
      </c>
      <c r="D20" t="s">
        <v>472</v>
      </c>
      <c r="E20" s="1">
        <v>10680</v>
      </c>
      <c r="F20" s="1"/>
      <c r="G20" t="s">
        <v>241</v>
      </c>
      <c r="H20" s="1">
        <f>SUM(J20:LF20)</f>
        <v>0</v>
      </c>
      <c r="I20" s="14"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>
        <v>0</v>
      </c>
      <c r="LB20" s="1"/>
      <c r="LC20" s="1"/>
      <c r="LD20" s="1">
        <v>0</v>
      </c>
      <c r="LE20" s="1"/>
      <c r="LF20" s="1"/>
    </row>
    <row r="21" spans="1:318" s="55" customFormat="1" ht="18" customHeight="1" x14ac:dyDescent="0.25">
      <c r="A21" s="14"/>
      <c r="B21" s="13" t="s">
        <v>425</v>
      </c>
      <c r="C21" s="1">
        <v>8952</v>
      </c>
      <c r="D21" t="s">
        <v>329</v>
      </c>
      <c r="E21" s="1">
        <v>10096</v>
      </c>
      <c r="F21" s="1"/>
      <c r="G21" t="s">
        <v>426</v>
      </c>
      <c r="H21" s="1">
        <f>SUM(J21:LF21)</f>
        <v>0</v>
      </c>
      <c r="I21" s="14">
        <f t="shared" ref="I21" si="4">H21</f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/>
      <c r="EB21"/>
      <c r="EC21"/>
      <c r="ED21"/>
      <c r="EE21"/>
      <c r="EF21"/>
      <c r="EG21"/>
      <c r="EH21"/>
      <c r="EI21">
        <v>0</v>
      </c>
      <c r="EJ2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</row>
    <row r="22" spans="1:318" s="55" customFormat="1" ht="18" customHeight="1" x14ac:dyDescent="0.25">
      <c r="A22" s="14">
        <v>14</v>
      </c>
      <c r="B22" s="13" t="s">
        <v>265</v>
      </c>
      <c r="C22" s="1"/>
      <c r="D22"/>
      <c r="E22" s="1"/>
      <c r="F22" s="1"/>
      <c r="G22"/>
      <c r="H22" s="1"/>
      <c r="I22" s="14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</row>
    <row r="23" spans="1:318" s="12" customFormat="1" ht="18" customHeight="1" x14ac:dyDescent="0.25">
      <c r="A23" s="14"/>
      <c r="B23" s="25"/>
      <c r="C23" s="29"/>
      <c r="E23" s="29"/>
      <c r="F23" s="29"/>
      <c r="H23" s="29"/>
      <c r="I23" s="27"/>
    </row>
    <row r="24" spans="1:318" s="12" customFormat="1" ht="18" customHeight="1" x14ac:dyDescent="0.25">
      <c r="A24" s="14"/>
      <c r="B24" s="25"/>
      <c r="C24" s="29"/>
      <c r="E24" s="29"/>
      <c r="F24" s="29"/>
      <c r="H24" s="29"/>
      <c r="I24" s="27"/>
    </row>
    <row r="25" spans="1:318" s="12" customFormat="1" ht="18" customHeight="1" x14ac:dyDescent="0.25">
      <c r="A25" s="14"/>
      <c r="B25" s="25"/>
      <c r="C25" s="29"/>
      <c r="E25" s="29"/>
      <c r="F25" s="29"/>
      <c r="H25" s="29"/>
      <c r="I25" s="27"/>
    </row>
    <row r="26" spans="1:318" s="12" customFormat="1" ht="18" customHeight="1" x14ac:dyDescent="0.25">
      <c r="A26" s="14"/>
      <c r="B26" s="25"/>
      <c r="C26" s="29"/>
      <c r="E26" s="29"/>
      <c r="F26" s="253" t="s">
        <v>1</v>
      </c>
      <c r="H26" s="29"/>
      <c r="I26" s="27"/>
    </row>
    <row r="27" spans="1:318" s="12" customFormat="1" ht="18" customHeight="1" x14ac:dyDescent="0.25">
      <c r="A27" s="14"/>
      <c r="B27" s="25"/>
      <c r="C27" s="29"/>
      <c r="E27" s="29"/>
      <c r="F27" s="29"/>
      <c r="H27" s="29"/>
      <c r="I27" s="27"/>
    </row>
    <row r="28" spans="1:318" s="12" customFormat="1" ht="18" customHeight="1" x14ac:dyDescent="0.25">
      <c r="A28" s="14"/>
      <c r="B28" s="25"/>
      <c r="C28" s="29"/>
      <c r="E28" s="29"/>
      <c r="F28" s="29"/>
      <c r="H28" s="29"/>
      <c r="I28" s="27"/>
    </row>
    <row r="29" spans="1:318" s="12" customFormat="1" ht="18" customHeight="1" x14ac:dyDescent="0.25">
      <c r="A29" s="14"/>
      <c r="B29" s="25"/>
      <c r="C29" s="29"/>
      <c r="E29" s="29"/>
      <c r="F29" s="29"/>
      <c r="H29" s="29"/>
      <c r="I29" s="27"/>
    </row>
    <row r="30" spans="1:318" s="12" customFormat="1" ht="18" customHeight="1" x14ac:dyDescent="0.25">
      <c r="A30" s="14"/>
      <c r="B30" s="25"/>
      <c r="C30" s="29"/>
      <c r="E30" s="29"/>
      <c r="F30" s="29"/>
      <c r="H30" s="29"/>
      <c r="I30" s="27"/>
    </row>
    <row r="31" spans="1:318" s="12" customFormat="1" ht="18" customHeight="1" x14ac:dyDescent="0.25">
      <c r="A31" s="14"/>
      <c r="B31" s="25"/>
      <c r="C31" s="29"/>
      <c r="E31" s="29"/>
      <c r="F31" s="29"/>
      <c r="H31" s="29"/>
      <c r="I31" s="27"/>
    </row>
    <row r="32" spans="1:318" s="12" customFormat="1" ht="18" customHeight="1" x14ac:dyDescent="0.25">
      <c r="A32" s="14"/>
      <c r="B32" s="25"/>
      <c r="C32" s="29"/>
      <c r="E32" s="29"/>
      <c r="F32" s="29"/>
      <c r="H32" s="29"/>
      <c r="I32" s="27"/>
    </row>
    <row r="33" spans="1:9" s="12" customFormat="1" ht="18" customHeight="1" x14ac:dyDescent="0.25">
      <c r="A33" s="14"/>
      <c r="B33" s="25"/>
      <c r="C33" s="29"/>
      <c r="E33" s="29"/>
      <c r="F33" s="29"/>
      <c r="H33" s="29"/>
      <c r="I33" s="27"/>
    </row>
    <row r="34" spans="1:9" s="12" customFormat="1" ht="18" customHeight="1" x14ac:dyDescent="0.25">
      <c r="A34" s="14"/>
      <c r="B34" s="25"/>
      <c r="C34" s="29"/>
      <c r="E34" s="29"/>
      <c r="F34" s="29"/>
      <c r="H34" s="29"/>
      <c r="I34" s="27"/>
    </row>
    <row r="35" spans="1:9" s="12" customFormat="1" ht="18" customHeight="1" x14ac:dyDescent="0.25">
      <c r="A35" s="14"/>
      <c r="B35" s="25"/>
      <c r="C35" s="29"/>
      <c r="E35" s="29"/>
      <c r="F35" s="29"/>
      <c r="H35" s="29"/>
      <c r="I35" s="27"/>
    </row>
  </sheetData>
  <mergeCells count="11">
    <mergeCell ref="H5:H7"/>
    <mergeCell ref="I5:I7"/>
    <mergeCell ref="A1:G1"/>
    <mergeCell ref="A3:G3"/>
    <mergeCell ref="A5:A7"/>
    <mergeCell ref="B5:B7"/>
    <mergeCell ref="C5:C7"/>
    <mergeCell ref="D5:D7"/>
    <mergeCell ref="E5:E7"/>
    <mergeCell ref="F5:F7"/>
    <mergeCell ref="G5:G7"/>
  </mergeCells>
  <conditionalFormatting sqref="J8:AG8 GV8:JH8 FC8:GT8 DU8:EG8 BE8:DK8 AQ8:BC8 AI8:AN8 EI8:EJ8 EL8:ES8 EU8:FA8 JU8:LF8 JJ8:JS8">
    <cfRule type="top10" dxfId="24" priority="174" rank="15"/>
  </conditionalFormatting>
  <pageMargins left="0.75" right="0.75" top="1" bottom="1" header="0.4921259845" footer="0.4921259845"/>
  <pageSetup paperSize="9" orientation="portrait" r:id="rId1"/>
  <headerFooter alignWithMargins="0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LG183"/>
  <sheetViews>
    <sheetView showGridLines="0" zoomScaleNormal="100" workbookViewId="0">
      <pane xSplit="10" ySplit="7" topLeftCell="K8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3.2" x14ac:dyDescent="0.25"/>
  <cols>
    <col min="1" max="1" width="9.44140625" style="14" customWidth="1"/>
    <col min="2" max="2" width="22.6640625" style="13" customWidth="1"/>
    <col min="3" max="3" width="10.6640625" style="1" customWidth="1"/>
    <col min="4" max="4" width="9.44140625" style="29" customWidth="1"/>
    <col min="5" max="5" width="20" customWidth="1"/>
    <col min="6" max="6" width="10.109375" style="1" customWidth="1"/>
    <col min="7" max="7" width="9.88671875" style="1" customWidth="1"/>
    <col min="8" max="8" width="25.33203125" bestFit="1" customWidth="1"/>
    <col min="9" max="9" width="9.88671875" style="1" customWidth="1"/>
    <col min="10" max="10" width="10.44140625" style="14" customWidth="1"/>
    <col min="11" max="31" width="4.6640625" style="1" customWidth="1"/>
    <col min="32" max="32" width="7.33203125" style="1" customWidth="1"/>
    <col min="33" max="33" width="6.109375" style="1" customWidth="1"/>
    <col min="34" max="62" width="4.6640625" style="1" customWidth="1"/>
    <col min="63" max="63" width="6.109375" style="1" customWidth="1"/>
    <col min="64" max="64" width="5.6640625" style="1" customWidth="1"/>
    <col min="65" max="65" width="6.109375" style="1" customWidth="1"/>
    <col min="66" max="66" width="6.33203125" style="1" customWidth="1"/>
    <col min="67" max="67" width="6.6640625" style="1" customWidth="1"/>
    <col min="68" max="68" width="7.88671875" style="1" customWidth="1"/>
    <col min="69" max="74" width="4.6640625" style="1" customWidth="1"/>
    <col min="75" max="75" width="10.33203125" style="1" customWidth="1"/>
    <col min="76" max="76" width="6" style="1" customWidth="1"/>
    <col min="77" max="77" width="6.33203125" style="1" customWidth="1"/>
    <col min="78" max="79" width="4.6640625" style="1" customWidth="1"/>
    <col min="80" max="80" width="6" style="1" customWidth="1"/>
    <col min="81" max="81" width="5.6640625" style="1" customWidth="1"/>
    <col min="82" max="82" width="9.33203125" style="1" customWidth="1"/>
    <col min="83" max="87" width="4.6640625" style="1" customWidth="1"/>
    <col min="88" max="88" width="10.33203125" style="1" customWidth="1"/>
    <col min="89" max="158" width="4.6640625" style="1" customWidth="1"/>
    <col min="159" max="159" width="5.33203125" style="1" customWidth="1"/>
    <col min="160" max="160" width="5.6640625" style="1" customWidth="1"/>
    <col min="161" max="219" width="4.6640625" style="1" customWidth="1"/>
    <col min="220" max="220" width="13.6640625" style="1" customWidth="1"/>
    <col min="221" max="259" width="4.6640625" style="1" customWidth="1"/>
    <col min="260" max="260" width="6.33203125" style="1" customWidth="1"/>
    <col min="261" max="261" width="5" style="1" customWidth="1"/>
    <col min="262" max="264" width="4.6640625" style="1" customWidth="1"/>
    <col min="265" max="265" width="6.44140625" style="1" customWidth="1"/>
    <col min="266" max="266" width="7" style="1" customWidth="1"/>
    <col min="267" max="267" width="11.109375" style="1" customWidth="1"/>
    <col min="268" max="278" width="4.6640625" style="1" customWidth="1"/>
    <col min="279" max="279" width="10.109375" style="1" customWidth="1"/>
    <col min="280" max="319" width="4.6640625" style="1" customWidth="1"/>
  </cols>
  <sheetData>
    <row r="1" spans="1:319" ht="24.9" customHeight="1" x14ac:dyDescent="0.4">
      <c r="A1" s="367" t="s">
        <v>429</v>
      </c>
      <c r="B1" s="367"/>
      <c r="C1" s="367"/>
      <c r="D1" s="367"/>
      <c r="E1" s="367"/>
      <c r="F1" s="367"/>
      <c r="G1" s="367"/>
      <c r="H1" s="367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  <c r="IW1" s="16"/>
      <c r="IX1" s="16"/>
      <c r="IY1" s="16"/>
      <c r="IZ1" s="16"/>
      <c r="JA1" s="16"/>
      <c r="JB1" s="16"/>
      <c r="JC1" s="16"/>
      <c r="JD1" s="16"/>
      <c r="JE1" s="16"/>
      <c r="JF1" s="16"/>
      <c r="JG1" s="16"/>
      <c r="JH1" s="16"/>
      <c r="JI1" s="16"/>
      <c r="JJ1" s="16"/>
      <c r="JK1" s="16"/>
      <c r="JL1" s="16"/>
      <c r="JM1" s="16"/>
      <c r="JN1" s="16"/>
      <c r="JO1" s="16"/>
      <c r="JP1" s="16"/>
      <c r="JQ1" s="16"/>
      <c r="JR1" s="16"/>
      <c r="JS1" s="16"/>
      <c r="JT1" s="16"/>
      <c r="JU1" s="16"/>
      <c r="JV1" s="16"/>
      <c r="JW1" s="16"/>
      <c r="JX1" s="16"/>
      <c r="JY1" s="16"/>
      <c r="JZ1" s="16"/>
      <c r="KA1" s="16"/>
      <c r="KB1" s="16"/>
      <c r="KC1" s="16"/>
      <c r="KD1" s="16"/>
      <c r="KE1" s="16"/>
      <c r="KF1" s="16"/>
      <c r="KG1" s="16"/>
      <c r="KH1" s="16"/>
      <c r="KI1" s="16"/>
      <c r="KJ1" s="16"/>
      <c r="KK1" s="16"/>
      <c r="KL1" s="16"/>
      <c r="KM1" s="16"/>
      <c r="KN1" s="16"/>
      <c r="KO1" s="16"/>
      <c r="KP1" s="16"/>
      <c r="KQ1" s="16"/>
      <c r="KR1" s="16"/>
      <c r="KS1" s="16"/>
      <c r="KT1" s="16"/>
      <c r="KU1" s="16"/>
      <c r="KV1" s="16"/>
      <c r="KW1" s="16"/>
      <c r="KX1" s="16"/>
      <c r="KY1" s="16"/>
      <c r="KZ1" s="16"/>
      <c r="LA1" s="16"/>
      <c r="LB1" s="16"/>
      <c r="LC1" s="16"/>
      <c r="LD1" s="16"/>
      <c r="LE1" s="16"/>
      <c r="LF1" s="16"/>
      <c r="LG1" s="16"/>
    </row>
    <row r="2" spans="1:319" ht="15" customHeight="1" x14ac:dyDescent="0.4">
      <c r="A2" s="5"/>
      <c r="B2" s="26"/>
      <c r="C2" s="6"/>
      <c r="D2" s="28"/>
      <c r="E2" s="6"/>
      <c r="F2" s="6"/>
      <c r="G2" s="6"/>
      <c r="H2" s="6"/>
      <c r="I2" s="11" t="s">
        <v>1</v>
      </c>
      <c r="K2" s="74" t="s">
        <v>1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74" t="s">
        <v>1</v>
      </c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</row>
    <row r="3" spans="1:319" ht="24.9" customHeight="1" x14ac:dyDescent="0.4">
      <c r="A3" s="367">
        <v>2021</v>
      </c>
      <c r="B3" s="367"/>
      <c r="C3" s="367"/>
      <c r="D3" s="367"/>
      <c r="E3" s="367"/>
      <c r="F3" s="367"/>
      <c r="G3" s="367"/>
      <c r="H3" s="367"/>
      <c r="J3" s="14" t="s">
        <v>1</v>
      </c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 t="s">
        <v>1</v>
      </c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 t="s">
        <v>1</v>
      </c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 t="s">
        <v>1</v>
      </c>
      <c r="KX3" s="17"/>
      <c r="KY3" s="17"/>
      <c r="KZ3" s="17"/>
      <c r="LA3" s="17"/>
      <c r="LB3" s="17"/>
      <c r="LC3" s="17"/>
      <c r="LD3" s="17"/>
      <c r="LE3" s="17"/>
      <c r="LF3" s="17"/>
      <c r="LG3" s="17"/>
    </row>
    <row r="4" spans="1:319" ht="15" customHeight="1" x14ac:dyDescent="0.25">
      <c r="D4" s="1"/>
    </row>
    <row r="5" spans="1:319" s="59" customFormat="1" ht="14.4" x14ac:dyDescent="0.3">
      <c r="A5" s="374" t="s">
        <v>3</v>
      </c>
      <c r="B5" s="368" t="s">
        <v>6</v>
      </c>
      <c r="C5" s="368" t="s">
        <v>5</v>
      </c>
      <c r="D5" s="368" t="s">
        <v>7</v>
      </c>
      <c r="E5" s="368" t="s">
        <v>4</v>
      </c>
      <c r="F5" s="368" t="s">
        <v>5</v>
      </c>
      <c r="G5" s="368" t="s">
        <v>430</v>
      </c>
      <c r="H5" s="368" t="s">
        <v>8</v>
      </c>
      <c r="I5" s="371" t="s">
        <v>9</v>
      </c>
      <c r="J5" s="371" t="s">
        <v>387</v>
      </c>
      <c r="K5" s="60" t="s">
        <v>11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2"/>
      <c r="Y5" s="60" t="s">
        <v>12</v>
      </c>
      <c r="Z5" s="60"/>
      <c r="AA5" s="60"/>
      <c r="AB5" s="60"/>
      <c r="AC5" s="60"/>
      <c r="AD5" s="60"/>
      <c r="AE5" s="60"/>
      <c r="AF5" s="61" t="s">
        <v>12</v>
      </c>
      <c r="AG5" s="62"/>
      <c r="AH5" s="60" t="s">
        <v>13</v>
      </c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119"/>
      <c r="AT5" s="60" t="s">
        <v>14</v>
      </c>
      <c r="AU5" s="60"/>
      <c r="AV5" s="60"/>
      <c r="AW5" s="61" t="s">
        <v>15</v>
      </c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199" t="s">
        <v>16</v>
      </c>
      <c r="BL5" s="200"/>
      <c r="BM5" s="209" t="s">
        <v>16</v>
      </c>
      <c r="BN5" s="210"/>
      <c r="BO5" s="200" t="s">
        <v>17</v>
      </c>
      <c r="BP5" s="200"/>
      <c r="BQ5" s="214" t="s">
        <v>18</v>
      </c>
      <c r="BR5" s="215"/>
      <c r="BS5" s="215"/>
      <c r="BT5" s="215"/>
      <c r="BU5" s="215"/>
      <c r="BV5" s="216"/>
      <c r="BW5" s="200" t="s">
        <v>19</v>
      </c>
      <c r="BX5" s="209" t="s">
        <v>20</v>
      </c>
      <c r="BY5" s="210"/>
      <c r="BZ5" s="200" t="s">
        <v>21</v>
      </c>
      <c r="CA5" s="200"/>
      <c r="CB5" s="209" t="s">
        <v>22</v>
      </c>
      <c r="CC5" s="210"/>
      <c r="CD5" s="200" t="s">
        <v>22</v>
      </c>
      <c r="CE5" s="209" t="s">
        <v>23</v>
      </c>
      <c r="CF5" s="200"/>
      <c r="CG5" s="200"/>
      <c r="CH5" s="200"/>
      <c r="CI5" s="210"/>
      <c r="CJ5" s="201" t="s">
        <v>24</v>
      </c>
      <c r="CK5" s="60" t="s">
        <v>25</v>
      </c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1" t="s">
        <v>25</v>
      </c>
      <c r="DB5" s="62"/>
      <c r="DC5" s="60" t="s">
        <v>26</v>
      </c>
      <c r="DD5" s="60"/>
      <c r="DE5" s="60"/>
      <c r="DF5" s="60"/>
      <c r="DG5" s="60"/>
      <c r="DH5" s="60"/>
      <c r="DI5" s="60"/>
      <c r="DJ5" s="249" t="s">
        <v>27</v>
      </c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  <c r="DY5" s="62"/>
      <c r="DZ5" s="60" t="s">
        <v>28</v>
      </c>
      <c r="EA5" s="60"/>
      <c r="EB5" s="60" t="s">
        <v>29</v>
      </c>
      <c r="EC5" s="60"/>
      <c r="ED5" s="60"/>
      <c r="EE5" s="60"/>
      <c r="EF5" s="60"/>
      <c r="EG5" s="60"/>
      <c r="EH5" s="60"/>
      <c r="EI5" s="60"/>
      <c r="EJ5" s="60"/>
      <c r="EK5" s="60"/>
      <c r="EL5" s="60"/>
      <c r="EM5" s="60"/>
      <c r="EN5" s="60"/>
      <c r="EO5" s="61" t="s">
        <v>30</v>
      </c>
      <c r="EP5" s="60"/>
      <c r="EQ5" s="62"/>
      <c r="ER5" s="60" t="s">
        <v>31</v>
      </c>
      <c r="ES5" s="60"/>
      <c r="ET5" s="60"/>
      <c r="EU5" s="60"/>
      <c r="EV5" s="60"/>
      <c r="EW5" s="60"/>
      <c r="EX5" s="60"/>
      <c r="EY5" s="60"/>
      <c r="EZ5" s="60"/>
      <c r="FA5" s="60"/>
      <c r="FB5" s="60"/>
      <c r="FC5" s="60"/>
      <c r="FD5" s="60"/>
      <c r="FE5" s="60"/>
      <c r="FF5" s="60"/>
      <c r="FG5" s="62"/>
      <c r="FH5" s="60" t="s">
        <v>32</v>
      </c>
      <c r="FI5" s="60"/>
      <c r="FJ5" s="60"/>
      <c r="FK5" s="60"/>
      <c r="FL5" s="60"/>
      <c r="FM5" s="60"/>
      <c r="FN5" s="61" t="s">
        <v>32</v>
      </c>
      <c r="FO5" s="60"/>
      <c r="FP5" s="62"/>
      <c r="FQ5" s="60" t="s">
        <v>33</v>
      </c>
      <c r="FR5" s="198"/>
      <c r="FS5" s="60"/>
      <c r="FT5" s="60"/>
      <c r="FU5" s="60"/>
      <c r="FV5" s="60"/>
      <c r="FW5" s="60"/>
      <c r="FX5" s="60"/>
      <c r="FY5" s="60"/>
      <c r="FZ5" s="60"/>
      <c r="GA5" s="60"/>
      <c r="GB5" s="60"/>
      <c r="GC5" s="60"/>
      <c r="GD5" s="60"/>
      <c r="GE5" s="60"/>
      <c r="GF5" s="61" t="s">
        <v>34</v>
      </c>
      <c r="GG5" s="60"/>
      <c r="GH5" s="60"/>
      <c r="GI5" s="60"/>
      <c r="GJ5" s="60"/>
      <c r="GK5" s="60"/>
      <c r="GL5" s="60"/>
      <c r="GM5" s="60"/>
      <c r="GN5" s="60"/>
      <c r="GO5" s="60"/>
      <c r="GP5" s="60"/>
      <c r="GQ5" s="60"/>
      <c r="GR5" s="60"/>
      <c r="GS5" s="60"/>
      <c r="GT5" s="60"/>
      <c r="GU5" s="60"/>
      <c r="GV5" s="60"/>
      <c r="GW5" s="60"/>
      <c r="GX5" s="60"/>
      <c r="GY5" s="60"/>
      <c r="GZ5" s="60"/>
      <c r="HA5" s="60"/>
      <c r="HB5" s="60"/>
      <c r="HC5" s="62"/>
      <c r="HD5" s="60" t="s">
        <v>35</v>
      </c>
      <c r="HE5" s="60"/>
      <c r="HF5" s="61" t="s">
        <v>36</v>
      </c>
      <c r="HG5" s="60"/>
      <c r="HH5" s="60"/>
      <c r="HI5" s="60"/>
      <c r="HJ5" s="60"/>
      <c r="HK5" s="62"/>
      <c r="HL5" s="60" t="s">
        <v>36</v>
      </c>
      <c r="HM5" s="61" t="s">
        <v>37</v>
      </c>
      <c r="HN5" s="60"/>
      <c r="HO5" s="60"/>
      <c r="HP5" s="60"/>
      <c r="HQ5" s="60"/>
      <c r="HR5" s="60"/>
      <c r="HS5" s="60"/>
      <c r="HT5" s="62"/>
      <c r="HU5" s="60" t="s">
        <v>38</v>
      </c>
      <c r="HV5" s="60"/>
      <c r="HW5" s="60"/>
      <c r="HX5" s="60"/>
      <c r="HY5" s="60"/>
      <c r="HZ5" s="60"/>
      <c r="IA5" s="61" t="s">
        <v>39</v>
      </c>
      <c r="IB5" s="60"/>
      <c r="IC5" s="60"/>
      <c r="ID5" s="60"/>
      <c r="IE5" s="60"/>
      <c r="IF5" s="60"/>
      <c r="IG5" s="60"/>
      <c r="IH5" s="60"/>
      <c r="II5" s="60"/>
      <c r="IJ5" s="62"/>
      <c r="IK5" s="60" t="s">
        <v>40</v>
      </c>
      <c r="IL5" s="60"/>
      <c r="IM5" s="60"/>
      <c r="IN5" s="60"/>
      <c r="IO5" s="60"/>
      <c r="IP5" s="60"/>
      <c r="IQ5" s="60"/>
      <c r="IR5" s="60"/>
      <c r="IS5" s="60"/>
      <c r="IT5" s="60"/>
      <c r="IU5" s="60"/>
      <c r="IV5" s="60"/>
      <c r="IW5" s="60"/>
      <c r="IX5" s="60"/>
      <c r="IY5" s="60"/>
      <c r="IZ5" s="249" t="s">
        <v>41</v>
      </c>
      <c r="JA5" s="287"/>
      <c r="JB5" s="60" t="s">
        <v>42</v>
      </c>
      <c r="JC5" s="60"/>
      <c r="JD5" s="60"/>
      <c r="JE5" s="249" t="s">
        <v>42</v>
      </c>
      <c r="JF5" s="62"/>
      <c r="JG5" s="60" t="s">
        <v>43</v>
      </c>
      <c r="JH5" s="61" t="s">
        <v>44</v>
      </c>
      <c r="JI5" s="60"/>
      <c r="JJ5" s="60"/>
      <c r="JK5" s="60"/>
      <c r="JL5" s="60"/>
      <c r="JM5" s="60"/>
      <c r="JN5" s="60"/>
      <c r="JO5" s="60"/>
      <c r="JP5" s="60"/>
      <c r="JQ5" s="60"/>
      <c r="JR5" s="62"/>
      <c r="JS5" s="60" t="s">
        <v>45</v>
      </c>
      <c r="JT5" s="61" t="s">
        <v>46</v>
      </c>
      <c r="JU5" s="60"/>
      <c r="JV5" s="60"/>
      <c r="JW5" s="60"/>
      <c r="JX5" s="60"/>
      <c r="JY5" s="62"/>
      <c r="JZ5" s="60" t="s">
        <v>450</v>
      </c>
      <c r="KA5" s="60"/>
      <c r="KB5" s="60"/>
      <c r="KC5" s="61" t="s">
        <v>451</v>
      </c>
      <c r="KD5" s="60"/>
      <c r="KE5" s="60"/>
      <c r="KF5" s="60"/>
      <c r="KG5" s="60"/>
      <c r="KH5" s="60"/>
      <c r="KI5" s="60"/>
      <c r="KJ5" s="62"/>
      <c r="KK5" s="60" t="s">
        <v>452</v>
      </c>
      <c r="KL5" s="60"/>
      <c r="KM5" s="60"/>
      <c r="KN5" s="60"/>
      <c r="KO5" s="60"/>
      <c r="KP5" s="61" t="s">
        <v>453</v>
      </c>
      <c r="KQ5" s="60"/>
      <c r="KR5" s="60"/>
      <c r="KS5" s="60"/>
      <c r="KT5" s="60"/>
      <c r="KU5" s="62"/>
      <c r="KV5" s="60" t="s">
        <v>454</v>
      </c>
      <c r="KW5" s="60"/>
      <c r="KX5" s="60"/>
      <c r="KY5" s="60"/>
      <c r="KZ5" s="60"/>
      <c r="LA5" s="60"/>
      <c r="LB5" s="60"/>
      <c r="LC5" s="60"/>
      <c r="LD5" s="60"/>
      <c r="LE5" s="60"/>
      <c r="LF5" s="60"/>
      <c r="LG5" s="62"/>
    </row>
    <row r="6" spans="1:319" s="59" customFormat="1" ht="18" customHeight="1" x14ac:dyDescent="0.3">
      <c r="A6" s="375"/>
      <c r="B6" s="369"/>
      <c r="C6" s="369"/>
      <c r="D6" s="369"/>
      <c r="E6" s="369"/>
      <c r="F6" s="369"/>
      <c r="G6" s="369"/>
      <c r="H6" s="369"/>
      <c r="I6" s="372"/>
      <c r="J6" s="372"/>
      <c r="K6" s="56" t="s">
        <v>47</v>
      </c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8"/>
      <c r="Y6" s="56" t="s">
        <v>47</v>
      </c>
      <c r="Z6" s="56"/>
      <c r="AA6" s="56"/>
      <c r="AB6" s="56"/>
      <c r="AC6" s="56"/>
      <c r="AD6" s="56"/>
      <c r="AE6" s="56"/>
      <c r="AF6" s="57" t="s">
        <v>48</v>
      </c>
      <c r="AG6" s="58"/>
      <c r="AH6" s="56" t="s">
        <v>47</v>
      </c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120"/>
      <c r="AT6" s="56" t="s">
        <v>49</v>
      </c>
      <c r="AU6" s="56"/>
      <c r="AV6" s="56"/>
      <c r="AW6" s="57" t="s">
        <v>47</v>
      </c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202" t="s">
        <v>50</v>
      </c>
      <c r="BL6" s="200"/>
      <c r="BM6" s="211" t="s">
        <v>51</v>
      </c>
      <c r="BN6" s="210"/>
      <c r="BO6" s="203" t="s">
        <v>52</v>
      </c>
      <c r="BP6" s="200"/>
      <c r="BQ6" s="209" t="s">
        <v>53</v>
      </c>
      <c r="BR6" s="200"/>
      <c r="BS6" s="200"/>
      <c r="BT6" s="200"/>
      <c r="BU6" s="200"/>
      <c r="BV6" s="210"/>
      <c r="BW6" s="203" t="s">
        <v>54</v>
      </c>
      <c r="BX6" s="211" t="s">
        <v>55</v>
      </c>
      <c r="BY6" s="210"/>
      <c r="BZ6" s="204" t="s">
        <v>56</v>
      </c>
      <c r="CA6" s="200"/>
      <c r="CB6" s="211" t="s">
        <v>57</v>
      </c>
      <c r="CC6" s="217"/>
      <c r="CD6" s="203" t="s">
        <v>58</v>
      </c>
      <c r="CE6" s="209" t="s">
        <v>59</v>
      </c>
      <c r="CF6" s="200"/>
      <c r="CG6" s="200"/>
      <c r="CH6" s="200"/>
      <c r="CI6" s="210"/>
      <c r="CJ6" s="205" t="s">
        <v>48</v>
      </c>
      <c r="CK6" s="56" t="s">
        <v>60</v>
      </c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7" t="s">
        <v>61</v>
      </c>
      <c r="DB6" s="58"/>
      <c r="DC6" s="56" t="s">
        <v>62</v>
      </c>
      <c r="DD6" s="56"/>
      <c r="DE6" s="56"/>
      <c r="DF6" s="56"/>
      <c r="DG6" s="56"/>
      <c r="DH6" s="56"/>
      <c r="DI6" s="56"/>
      <c r="DJ6" s="57" t="s">
        <v>63</v>
      </c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8"/>
      <c r="DZ6" s="56" t="s">
        <v>64</v>
      </c>
      <c r="EA6" s="56"/>
      <c r="EB6" s="56" t="s">
        <v>47</v>
      </c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7" t="s">
        <v>65</v>
      </c>
      <c r="EP6" s="56"/>
      <c r="EQ6" s="58"/>
      <c r="ER6" s="56" t="s">
        <v>63</v>
      </c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8"/>
      <c r="FH6" s="56" t="s">
        <v>66</v>
      </c>
      <c r="FI6" s="56"/>
      <c r="FJ6" s="56"/>
      <c r="FK6" s="56"/>
      <c r="FL6" s="56"/>
      <c r="FM6" s="56"/>
      <c r="FN6" s="57" t="s">
        <v>48</v>
      </c>
      <c r="FO6" s="56"/>
      <c r="FP6" s="58"/>
      <c r="FQ6" s="56" t="s">
        <v>60</v>
      </c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7" t="s">
        <v>63</v>
      </c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8"/>
      <c r="HD6" s="261" t="s">
        <v>50</v>
      </c>
      <c r="HE6" s="56"/>
      <c r="HF6" s="57" t="s">
        <v>67</v>
      </c>
      <c r="HG6" s="56"/>
      <c r="HH6" s="56"/>
      <c r="HI6" s="56"/>
      <c r="HJ6" s="56"/>
      <c r="HK6" s="58"/>
      <c r="HL6" s="56" t="s">
        <v>68</v>
      </c>
      <c r="HM6" s="57" t="s">
        <v>69</v>
      </c>
      <c r="HN6" s="56"/>
      <c r="HO6" s="56"/>
      <c r="HP6" s="56"/>
      <c r="HQ6" s="56"/>
      <c r="HR6" s="56"/>
      <c r="HS6" s="56"/>
      <c r="HT6" s="58"/>
      <c r="HU6" s="56" t="s">
        <v>60</v>
      </c>
      <c r="HV6" s="56"/>
      <c r="HW6" s="56"/>
      <c r="HX6" s="56"/>
      <c r="HY6" s="56"/>
      <c r="HZ6" s="56"/>
      <c r="IA6" s="57" t="s">
        <v>70</v>
      </c>
      <c r="IB6" s="56"/>
      <c r="IC6" s="56"/>
      <c r="ID6" s="56"/>
      <c r="IE6" s="56"/>
      <c r="IF6" s="56"/>
      <c r="IG6" s="56"/>
      <c r="IH6" s="56"/>
      <c r="II6" s="56"/>
      <c r="IJ6" s="58"/>
      <c r="IK6" s="56" t="s">
        <v>71</v>
      </c>
      <c r="IL6" s="56"/>
      <c r="IM6" s="56"/>
      <c r="IN6" s="56"/>
      <c r="IO6" s="56"/>
      <c r="IP6" s="56"/>
      <c r="IQ6" s="56"/>
      <c r="IR6" s="56"/>
      <c r="IS6" s="56"/>
      <c r="IT6" s="56"/>
      <c r="IU6" s="56"/>
      <c r="IV6" s="56"/>
      <c r="IW6" s="56"/>
      <c r="IX6" s="56"/>
      <c r="IY6" s="56"/>
      <c r="IZ6" s="297" t="s">
        <v>72</v>
      </c>
      <c r="JA6" s="58"/>
      <c r="JB6" s="298" t="s">
        <v>73</v>
      </c>
      <c r="JC6" s="56"/>
      <c r="JD6" s="56"/>
      <c r="JE6" s="297" t="s">
        <v>50</v>
      </c>
      <c r="JF6" s="58"/>
      <c r="JG6" s="261" t="s">
        <v>74</v>
      </c>
      <c r="JH6" s="57" t="s">
        <v>75</v>
      </c>
      <c r="JI6" s="56"/>
      <c r="JJ6" s="56"/>
      <c r="JK6" s="56"/>
      <c r="JL6" s="56"/>
      <c r="JM6" s="56"/>
      <c r="JN6" s="56"/>
      <c r="JO6" s="56"/>
      <c r="JP6" s="56"/>
      <c r="JQ6" s="56"/>
      <c r="JR6" s="58"/>
      <c r="JS6" s="261" t="s">
        <v>76</v>
      </c>
      <c r="JT6" s="57" t="s">
        <v>77</v>
      </c>
      <c r="JU6" s="56"/>
      <c r="JV6" s="56"/>
      <c r="JW6" s="56"/>
      <c r="JX6" s="56"/>
      <c r="JY6" s="58"/>
      <c r="JZ6" s="56" t="s">
        <v>455</v>
      </c>
      <c r="KA6" s="56"/>
      <c r="KB6" s="56"/>
      <c r="KC6" s="57" t="s">
        <v>456</v>
      </c>
      <c r="KD6" s="56"/>
      <c r="KE6" s="56"/>
      <c r="KF6" s="56"/>
      <c r="KG6" s="56"/>
      <c r="KH6" s="56"/>
      <c r="KI6" s="56"/>
      <c r="KJ6" s="58"/>
      <c r="KK6" s="56" t="s">
        <v>457</v>
      </c>
      <c r="KL6" s="56"/>
      <c r="KM6" s="56"/>
      <c r="KN6" s="56"/>
      <c r="KO6" s="56"/>
      <c r="KP6" s="57" t="s">
        <v>51</v>
      </c>
      <c r="KQ6" s="56"/>
      <c r="KR6" s="56"/>
      <c r="KS6" s="56"/>
      <c r="KT6" s="56"/>
      <c r="KU6" s="58"/>
      <c r="KV6" s="56" t="s">
        <v>47</v>
      </c>
      <c r="KW6" s="56"/>
      <c r="KX6" s="56"/>
      <c r="KY6" s="56"/>
      <c r="KZ6" s="56"/>
      <c r="LA6" s="56"/>
      <c r="LB6" s="56"/>
      <c r="LC6" s="56"/>
      <c r="LD6" s="56"/>
      <c r="LE6" s="56"/>
      <c r="LF6" s="56"/>
      <c r="LG6" s="58"/>
    </row>
    <row r="7" spans="1:319" s="1" customFormat="1" ht="18" customHeight="1" x14ac:dyDescent="0.3">
      <c r="A7" s="376"/>
      <c r="B7" s="370"/>
      <c r="C7" s="370"/>
      <c r="D7" s="370"/>
      <c r="E7" s="370"/>
      <c r="F7" s="370"/>
      <c r="G7" s="370"/>
      <c r="H7" s="370"/>
      <c r="I7" s="373"/>
      <c r="J7" s="373"/>
      <c r="K7" s="32" t="s">
        <v>78</v>
      </c>
      <c r="L7" s="32" t="s">
        <v>79</v>
      </c>
      <c r="M7" s="32" t="s">
        <v>80</v>
      </c>
      <c r="N7" s="32" t="s">
        <v>81</v>
      </c>
      <c r="O7" s="32" t="s">
        <v>82</v>
      </c>
      <c r="P7" s="32" t="s">
        <v>83</v>
      </c>
      <c r="Q7" s="32" t="s">
        <v>84</v>
      </c>
      <c r="R7" s="32" t="s">
        <v>78</v>
      </c>
      <c r="S7" s="32" t="s">
        <v>79</v>
      </c>
      <c r="T7" s="32" t="s">
        <v>80</v>
      </c>
      <c r="U7" s="32" t="s">
        <v>81</v>
      </c>
      <c r="V7" s="32" t="s">
        <v>82</v>
      </c>
      <c r="W7" s="32" t="s">
        <v>83</v>
      </c>
      <c r="X7" s="34" t="s">
        <v>84</v>
      </c>
      <c r="Y7" s="32" t="s">
        <v>78</v>
      </c>
      <c r="Z7" s="32" t="s">
        <v>81</v>
      </c>
      <c r="AA7" s="32" t="s">
        <v>80</v>
      </c>
      <c r="AB7" s="32" t="s">
        <v>82</v>
      </c>
      <c r="AC7" s="32" t="s">
        <v>85</v>
      </c>
      <c r="AD7" s="32" t="s">
        <v>78</v>
      </c>
      <c r="AE7" s="32" t="s">
        <v>84</v>
      </c>
      <c r="AF7" s="33" t="s">
        <v>86</v>
      </c>
      <c r="AG7" s="34" t="s">
        <v>87</v>
      </c>
      <c r="AH7" s="32" t="s">
        <v>78</v>
      </c>
      <c r="AI7" s="32" t="s">
        <v>79</v>
      </c>
      <c r="AJ7" s="32" t="s">
        <v>80</v>
      </c>
      <c r="AK7" s="32" t="s">
        <v>81</v>
      </c>
      <c r="AL7" s="32" t="s">
        <v>82</v>
      </c>
      <c r="AM7" s="32" t="s">
        <v>83</v>
      </c>
      <c r="AN7" s="32" t="s">
        <v>84</v>
      </c>
      <c r="AO7" s="32" t="s">
        <v>85</v>
      </c>
      <c r="AP7" s="32" t="s">
        <v>79</v>
      </c>
      <c r="AQ7" s="32" t="s">
        <v>88</v>
      </c>
      <c r="AR7" s="32" t="s">
        <v>89</v>
      </c>
      <c r="AS7" s="121" t="s">
        <v>85</v>
      </c>
      <c r="AT7" s="32" t="s">
        <v>84</v>
      </c>
      <c r="AU7" s="32" t="s">
        <v>89</v>
      </c>
      <c r="AV7" s="32" t="s">
        <v>90</v>
      </c>
      <c r="AW7" s="33" t="s">
        <v>78</v>
      </c>
      <c r="AX7" s="32" t="s">
        <v>79</v>
      </c>
      <c r="AY7" s="32" t="s">
        <v>80</v>
      </c>
      <c r="AZ7" s="32" t="s">
        <v>81</v>
      </c>
      <c r="BA7" s="32" t="s">
        <v>82</v>
      </c>
      <c r="BB7" s="32" t="s">
        <v>83</v>
      </c>
      <c r="BC7" s="32" t="s">
        <v>84</v>
      </c>
      <c r="BD7" s="32" t="s">
        <v>91</v>
      </c>
      <c r="BE7" s="32" t="s">
        <v>79</v>
      </c>
      <c r="BF7" s="32" t="s">
        <v>80</v>
      </c>
      <c r="BG7" s="32" t="s">
        <v>88</v>
      </c>
      <c r="BH7" s="32" t="s">
        <v>89</v>
      </c>
      <c r="BI7" s="32" t="s">
        <v>85</v>
      </c>
      <c r="BJ7" s="32" t="s">
        <v>91</v>
      </c>
      <c r="BK7" s="206" t="s">
        <v>86</v>
      </c>
      <c r="BL7" s="207" t="s">
        <v>87</v>
      </c>
      <c r="BM7" s="212" t="s">
        <v>92</v>
      </c>
      <c r="BN7" s="213" t="s">
        <v>93</v>
      </c>
      <c r="BO7" s="207" t="s">
        <v>84</v>
      </c>
      <c r="BP7" s="207" t="s">
        <v>89</v>
      </c>
      <c r="BQ7" s="212" t="s">
        <v>85</v>
      </c>
      <c r="BR7" s="207" t="s">
        <v>94</v>
      </c>
      <c r="BS7" s="207" t="s">
        <v>91</v>
      </c>
      <c r="BT7" s="207" t="s">
        <v>95</v>
      </c>
      <c r="BU7" s="207" t="s">
        <v>96</v>
      </c>
      <c r="BV7" s="213" t="s">
        <v>97</v>
      </c>
      <c r="BW7" s="207" t="s">
        <v>84</v>
      </c>
      <c r="BX7" s="212" t="s">
        <v>85</v>
      </c>
      <c r="BY7" s="213" t="s">
        <v>86</v>
      </c>
      <c r="BZ7" s="207" t="s">
        <v>98</v>
      </c>
      <c r="CA7" s="207" t="s">
        <v>93</v>
      </c>
      <c r="CB7" s="212" t="s">
        <v>95</v>
      </c>
      <c r="CC7" s="213" t="s">
        <v>99</v>
      </c>
      <c r="CD7" s="207" t="s">
        <v>91</v>
      </c>
      <c r="CE7" s="212" t="s">
        <v>100</v>
      </c>
      <c r="CF7" s="207" t="s">
        <v>91</v>
      </c>
      <c r="CG7" s="207" t="s">
        <v>101</v>
      </c>
      <c r="CH7" s="207" t="s">
        <v>96</v>
      </c>
      <c r="CI7" s="213" t="s">
        <v>102</v>
      </c>
      <c r="CJ7" s="208" t="s">
        <v>93</v>
      </c>
      <c r="CK7" s="32" t="s">
        <v>80</v>
      </c>
      <c r="CL7" s="32" t="s">
        <v>82</v>
      </c>
      <c r="CM7" s="32" t="s">
        <v>98</v>
      </c>
      <c r="CN7" s="32" t="s">
        <v>88</v>
      </c>
      <c r="CO7" s="32" t="s">
        <v>83</v>
      </c>
      <c r="CP7" s="32" t="s">
        <v>91</v>
      </c>
      <c r="CQ7" s="32" t="s">
        <v>95</v>
      </c>
      <c r="CR7" s="32" t="s">
        <v>81</v>
      </c>
      <c r="CS7" s="32" t="s">
        <v>103</v>
      </c>
      <c r="CT7" s="32" t="s">
        <v>104</v>
      </c>
      <c r="CU7" s="32" t="s">
        <v>101</v>
      </c>
      <c r="CV7" s="32" t="s">
        <v>89</v>
      </c>
      <c r="CW7" s="32" t="s">
        <v>87</v>
      </c>
      <c r="CX7" s="32" t="s">
        <v>96</v>
      </c>
      <c r="CY7" s="32" t="s">
        <v>97</v>
      </c>
      <c r="CZ7" s="32" t="s">
        <v>83</v>
      </c>
      <c r="DA7" s="33" t="s">
        <v>84</v>
      </c>
      <c r="DB7" s="34" t="s">
        <v>89</v>
      </c>
      <c r="DC7" s="32" t="s">
        <v>91</v>
      </c>
      <c r="DD7" s="32" t="s">
        <v>84</v>
      </c>
      <c r="DE7" s="32" t="s">
        <v>95</v>
      </c>
      <c r="DF7" s="32" t="s">
        <v>89</v>
      </c>
      <c r="DG7" s="32" t="s">
        <v>96</v>
      </c>
      <c r="DH7" s="32" t="s">
        <v>90</v>
      </c>
      <c r="DI7" s="251" t="s">
        <v>97</v>
      </c>
      <c r="DJ7" s="33" t="s">
        <v>80</v>
      </c>
      <c r="DK7" s="32" t="s">
        <v>98</v>
      </c>
      <c r="DL7" s="32" t="s">
        <v>100</v>
      </c>
      <c r="DM7" s="32" t="s">
        <v>82</v>
      </c>
      <c r="DN7" s="32" t="s">
        <v>88</v>
      </c>
      <c r="DO7" s="32" t="s">
        <v>83</v>
      </c>
      <c r="DP7" s="32" t="s">
        <v>85</v>
      </c>
      <c r="DQ7" s="32" t="s">
        <v>96</v>
      </c>
      <c r="DR7" s="32" t="s">
        <v>80</v>
      </c>
      <c r="DS7" s="32" t="s">
        <v>103</v>
      </c>
      <c r="DT7" s="32" t="s">
        <v>101</v>
      </c>
      <c r="DU7" s="32" t="s">
        <v>81</v>
      </c>
      <c r="DV7" s="32" t="s">
        <v>104</v>
      </c>
      <c r="DW7" s="32" t="s">
        <v>84</v>
      </c>
      <c r="DX7" s="32" t="s">
        <v>91</v>
      </c>
      <c r="DY7" s="34" t="s">
        <v>102</v>
      </c>
      <c r="DZ7" s="32" t="s">
        <v>93</v>
      </c>
      <c r="EA7" s="32" t="s">
        <v>92</v>
      </c>
      <c r="EB7" s="32" t="s">
        <v>78</v>
      </c>
      <c r="EC7" s="32" t="s">
        <v>79</v>
      </c>
      <c r="ED7" s="32" t="s">
        <v>93</v>
      </c>
      <c r="EE7" s="32" t="s">
        <v>81</v>
      </c>
      <c r="EF7" s="32" t="s">
        <v>82</v>
      </c>
      <c r="EG7" s="32" t="s">
        <v>83</v>
      </c>
      <c r="EH7" s="32" t="s">
        <v>84</v>
      </c>
      <c r="EI7" s="32" t="s">
        <v>78</v>
      </c>
      <c r="EJ7" s="32" t="s">
        <v>79</v>
      </c>
      <c r="EK7" s="32" t="s">
        <v>93</v>
      </c>
      <c r="EL7" s="32" t="s">
        <v>88</v>
      </c>
      <c r="EM7" s="32" t="s">
        <v>104</v>
      </c>
      <c r="EN7" s="32" t="s">
        <v>85</v>
      </c>
      <c r="EO7" s="33" t="s">
        <v>84</v>
      </c>
      <c r="EP7" s="32" t="s">
        <v>89</v>
      </c>
      <c r="EQ7" s="34" t="s">
        <v>90</v>
      </c>
      <c r="ER7" s="32" t="s">
        <v>80</v>
      </c>
      <c r="ES7" s="32" t="s">
        <v>98</v>
      </c>
      <c r="ET7" s="32" t="s">
        <v>93</v>
      </c>
      <c r="EU7" s="32" t="s">
        <v>82</v>
      </c>
      <c r="EV7" s="32" t="s">
        <v>88</v>
      </c>
      <c r="EW7" s="32" t="s">
        <v>84</v>
      </c>
      <c r="EX7" s="32" t="s">
        <v>85</v>
      </c>
      <c r="EY7" s="32" t="s">
        <v>102</v>
      </c>
      <c r="EZ7" s="32" t="s">
        <v>80</v>
      </c>
      <c r="FA7" s="32" t="s">
        <v>98</v>
      </c>
      <c r="FB7" s="32" t="s">
        <v>93</v>
      </c>
      <c r="FC7" s="32" t="s">
        <v>81</v>
      </c>
      <c r="FD7" s="32" t="s">
        <v>104</v>
      </c>
      <c r="FE7" s="32" t="s">
        <v>89</v>
      </c>
      <c r="FF7" s="32" t="s">
        <v>91</v>
      </c>
      <c r="FG7" s="34" t="s">
        <v>96</v>
      </c>
      <c r="FH7" s="32" t="s">
        <v>82</v>
      </c>
      <c r="FI7" s="32" t="s">
        <v>81</v>
      </c>
      <c r="FJ7" s="32" t="s">
        <v>88</v>
      </c>
      <c r="FK7" s="32" t="s">
        <v>105</v>
      </c>
      <c r="FL7" s="32" t="s">
        <v>83</v>
      </c>
      <c r="FM7" s="32" t="s">
        <v>84</v>
      </c>
      <c r="FN7" s="33" t="s">
        <v>80</v>
      </c>
      <c r="FO7" s="32" t="s">
        <v>93</v>
      </c>
      <c r="FP7" s="34" t="s">
        <v>106</v>
      </c>
      <c r="FQ7" s="32" t="s">
        <v>82</v>
      </c>
      <c r="FR7" s="32" t="s">
        <v>88</v>
      </c>
      <c r="FS7" s="32" t="s">
        <v>83</v>
      </c>
      <c r="FT7" s="32" t="s">
        <v>84</v>
      </c>
      <c r="FU7" s="32" t="s">
        <v>85</v>
      </c>
      <c r="FV7" s="32" t="s">
        <v>96</v>
      </c>
      <c r="FW7" s="32" t="s">
        <v>95</v>
      </c>
      <c r="FX7" s="32" t="s">
        <v>81</v>
      </c>
      <c r="FY7" s="32" t="s">
        <v>104</v>
      </c>
      <c r="FZ7" s="32" t="s">
        <v>88</v>
      </c>
      <c r="GA7" s="32" t="s">
        <v>101</v>
      </c>
      <c r="GB7" s="32" t="s">
        <v>83</v>
      </c>
      <c r="GC7" s="32" t="s">
        <v>91</v>
      </c>
      <c r="GD7" s="32" t="s">
        <v>96</v>
      </c>
      <c r="GE7" s="32" t="s">
        <v>97</v>
      </c>
      <c r="GF7" s="33" t="s">
        <v>80</v>
      </c>
      <c r="GG7" s="32" t="s">
        <v>79</v>
      </c>
      <c r="GH7" s="32" t="s">
        <v>82</v>
      </c>
      <c r="GI7" s="32" t="s">
        <v>88</v>
      </c>
      <c r="GJ7" s="32" t="s">
        <v>83</v>
      </c>
      <c r="GK7" s="32" t="s">
        <v>100</v>
      </c>
      <c r="GL7" s="32" t="s">
        <v>85</v>
      </c>
      <c r="GM7" s="32" t="s">
        <v>91</v>
      </c>
      <c r="GN7" s="32" t="s">
        <v>80</v>
      </c>
      <c r="GO7" s="32" t="s">
        <v>81</v>
      </c>
      <c r="GP7" s="32" t="s">
        <v>79</v>
      </c>
      <c r="GQ7" s="32" t="s">
        <v>104</v>
      </c>
      <c r="GR7" s="32" t="s">
        <v>107</v>
      </c>
      <c r="GS7" s="32" t="s">
        <v>84</v>
      </c>
      <c r="GT7" s="32" t="s">
        <v>91</v>
      </c>
      <c r="GU7" s="32" t="s">
        <v>102</v>
      </c>
      <c r="GV7" s="32" t="s">
        <v>108</v>
      </c>
      <c r="GW7" s="32" t="s">
        <v>80</v>
      </c>
      <c r="GX7" s="32" t="s">
        <v>82</v>
      </c>
      <c r="GY7" s="32" t="s">
        <v>109</v>
      </c>
      <c r="GZ7" s="32" t="s">
        <v>88</v>
      </c>
      <c r="HA7" s="32" t="s">
        <v>83</v>
      </c>
      <c r="HB7" s="32" t="s">
        <v>85</v>
      </c>
      <c r="HC7" s="34" t="s">
        <v>96</v>
      </c>
      <c r="HD7" s="32" t="s">
        <v>86</v>
      </c>
      <c r="HE7" s="32" t="s">
        <v>87</v>
      </c>
      <c r="HF7" s="33" t="s">
        <v>110</v>
      </c>
      <c r="HG7" s="32" t="s">
        <v>111</v>
      </c>
      <c r="HH7" s="32" t="s">
        <v>112</v>
      </c>
      <c r="HI7" s="32" t="s">
        <v>113</v>
      </c>
      <c r="HJ7" s="32" t="s">
        <v>114</v>
      </c>
      <c r="HK7" s="34" t="s">
        <v>105</v>
      </c>
      <c r="HL7" s="32" t="s">
        <v>93</v>
      </c>
      <c r="HM7" s="33" t="s">
        <v>91</v>
      </c>
      <c r="HN7" s="32" t="s">
        <v>96</v>
      </c>
      <c r="HO7" s="32" t="s">
        <v>102</v>
      </c>
      <c r="HP7" s="32" t="s">
        <v>84</v>
      </c>
      <c r="HQ7" s="32" t="s">
        <v>89</v>
      </c>
      <c r="HR7" s="32" t="s">
        <v>90</v>
      </c>
      <c r="HS7" s="32" t="s">
        <v>100</v>
      </c>
      <c r="HT7" s="34" t="s">
        <v>101</v>
      </c>
      <c r="HU7" s="32" t="s">
        <v>83</v>
      </c>
      <c r="HV7" s="32" t="s">
        <v>82</v>
      </c>
      <c r="HW7" s="32" t="s">
        <v>85</v>
      </c>
      <c r="HX7" s="32" t="s">
        <v>84</v>
      </c>
      <c r="HY7" s="32" t="s">
        <v>81</v>
      </c>
      <c r="HZ7" s="32" t="s">
        <v>91</v>
      </c>
      <c r="IA7" s="33" t="s">
        <v>96</v>
      </c>
      <c r="IB7" s="32" t="s">
        <v>93</v>
      </c>
      <c r="IC7" s="32" t="s">
        <v>98</v>
      </c>
      <c r="ID7" s="32" t="s">
        <v>91</v>
      </c>
      <c r="IE7" s="32" t="s">
        <v>82</v>
      </c>
      <c r="IF7" s="32" t="s">
        <v>100</v>
      </c>
      <c r="IG7" s="32" t="s">
        <v>88</v>
      </c>
      <c r="IH7" s="32" t="s">
        <v>87</v>
      </c>
      <c r="II7" s="32" t="s">
        <v>102</v>
      </c>
      <c r="IJ7" s="34" t="s">
        <v>101</v>
      </c>
      <c r="IK7" s="32" t="s">
        <v>82</v>
      </c>
      <c r="IL7" s="32" t="s">
        <v>81</v>
      </c>
      <c r="IM7" s="32" t="s">
        <v>83</v>
      </c>
      <c r="IN7" s="32" t="s">
        <v>82</v>
      </c>
      <c r="IO7" s="32" t="s">
        <v>88</v>
      </c>
      <c r="IP7" s="32" t="s">
        <v>115</v>
      </c>
      <c r="IQ7" s="32" t="s">
        <v>84</v>
      </c>
      <c r="IR7" s="32" t="s">
        <v>86</v>
      </c>
      <c r="IS7" s="32" t="s">
        <v>96</v>
      </c>
      <c r="IT7" s="32" t="s">
        <v>82</v>
      </c>
      <c r="IU7" s="32" t="s">
        <v>104</v>
      </c>
      <c r="IV7" s="32" t="s">
        <v>87</v>
      </c>
      <c r="IW7" s="32" t="s">
        <v>116</v>
      </c>
      <c r="IX7" s="32" t="s">
        <v>89</v>
      </c>
      <c r="IY7" s="32" t="s">
        <v>96</v>
      </c>
      <c r="IZ7" s="33" t="s">
        <v>104</v>
      </c>
      <c r="JA7" s="34" t="s">
        <v>108</v>
      </c>
      <c r="JB7" s="32" t="s">
        <v>91</v>
      </c>
      <c r="JC7" s="32" t="s">
        <v>91</v>
      </c>
      <c r="JD7" s="32" t="s">
        <v>96</v>
      </c>
      <c r="JE7" s="33" t="s">
        <v>91</v>
      </c>
      <c r="JF7" s="34" t="s">
        <v>96</v>
      </c>
      <c r="JG7" s="32" t="s">
        <v>95</v>
      </c>
      <c r="JH7" s="33" t="s">
        <v>80</v>
      </c>
      <c r="JI7" s="32" t="s">
        <v>82</v>
      </c>
      <c r="JJ7" s="32" t="s">
        <v>88</v>
      </c>
      <c r="JK7" s="32" t="s">
        <v>83</v>
      </c>
      <c r="JL7" s="32" t="s">
        <v>85</v>
      </c>
      <c r="JM7" s="32" t="s">
        <v>96</v>
      </c>
      <c r="JN7" s="32" t="s">
        <v>80</v>
      </c>
      <c r="JO7" s="32" t="s">
        <v>81</v>
      </c>
      <c r="JP7" s="32" t="s">
        <v>104</v>
      </c>
      <c r="JQ7" s="32" t="s">
        <v>84</v>
      </c>
      <c r="JR7" s="34" t="s">
        <v>91</v>
      </c>
      <c r="JS7" s="32" t="s">
        <v>117</v>
      </c>
      <c r="JT7" s="33" t="s">
        <v>78</v>
      </c>
      <c r="JU7" s="32" t="s">
        <v>82</v>
      </c>
      <c r="JV7" s="32" t="s">
        <v>80</v>
      </c>
      <c r="JW7" s="32" t="s">
        <v>88</v>
      </c>
      <c r="JX7" s="32" t="s">
        <v>84</v>
      </c>
      <c r="JY7" s="34" t="s">
        <v>85</v>
      </c>
      <c r="JZ7" s="32" t="s">
        <v>84</v>
      </c>
      <c r="KA7" s="32" t="s">
        <v>89</v>
      </c>
      <c r="KB7" s="32" t="s">
        <v>90</v>
      </c>
      <c r="KC7" s="33" t="s">
        <v>78</v>
      </c>
      <c r="KD7" s="32" t="s">
        <v>82</v>
      </c>
      <c r="KE7" s="32" t="s">
        <v>88</v>
      </c>
      <c r="KF7" s="32" t="s">
        <v>84</v>
      </c>
      <c r="KG7" s="32" t="s">
        <v>78</v>
      </c>
      <c r="KH7" s="32" t="s">
        <v>82</v>
      </c>
      <c r="KI7" s="32" t="s">
        <v>88</v>
      </c>
      <c r="KJ7" s="34" t="s">
        <v>84</v>
      </c>
      <c r="KK7" s="32" t="s">
        <v>458</v>
      </c>
      <c r="KL7" s="32" t="s">
        <v>459</v>
      </c>
      <c r="KM7" s="32" t="s">
        <v>434</v>
      </c>
      <c r="KN7" s="32" t="s">
        <v>460</v>
      </c>
      <c r="KO7" s="32" t="s">
        <v>434</v>
      </c>
      <c r="KP7" s="33" t="s">
        <v>84</v>
      </c>
      <c r="KQ7" s="32" t="s">
        <v>89</v>
      </c>
      <c r="KR7" s="32" t="s">
        <v>91</v>
      </c>
      <c r="KS7" s="32" t="s">
        <v>100</v>
      </c>
      <c r="KT7" s="32" t="s">
        <v>96</v>
      </c>
      <c r="KU7" s="34" t="s">
        <v>101</v>
      </c>
      <c r="KV7" s="32" t="s">
        <v>78</v>
      </c>
      <c r="KW7" s="32" t="s">
        <v>81</v>
      </c>
      <c r="KX7" s="32" t="s">
        <v>80</v>
      </c>
      <c r="KY7" s="32" t="s">
        <v>82</v>
      </c>
      <c r="KZ7" s="32" t="s">
        <v>83</v>
      </c>
      <c r="LA7" s="32" t="s">
        <v>85</v>
      </c>
      <c r="LB7" s="32" t="s">
        <v>79</v>
      </c>
      <c r="LC7" s="32" t="s">
        <v>81</v>
      </c>
      <c r="LD7" s="32" t="s">
        <v>98</v>
      </c>
      <c r="LE7" s="32" t="s">
        <v>82</v>
      </c>
      <c r="LF7" s="32" t="s">
        <v>88</v>
      </c>
      <c r="LG7" s="34" t="s">
        <v>84</v>
      </c>
    </row>
    <row r="8" spans="1:319" ht="18" customHeight="1" x14ac:dyDescent="0.25">
      <c r="A8" s="14">
        <v>1</v>
      </c>
      <c r="B8" s="13" t="s">
        <v>301</v>
      </c>
      <c r="C8" s="1">
        <v>10324</v>
      </c>
      <c r="D8" s="1">
        <v>2014</v>
      </c>
      <c r="E8" t="s">
        <v>431</v>
      </c>
      <c r="F8" s="1">
        <v>5486</v>
      </c>
      <c r="G8" s="1" t="s">
        <v>432</v>
      </c>
      <c r="H8" t="s">
        <v>433</v>
      </c>
      <c r="I8" s="1">
        <f>SUM(K8:LG8)</f>
        <v>498.99999999999994</v>
      </c>
      <c r="J8" s="14">
        <f>Tabuľka3[[#This Row],[Stĺpec103]]+Tabuľka3[[#This Row],[Stĺpec105]]+Tabuľka3[[#This Row],[Stĺpec111]]+Tabuľka3[[#This Row],[Stĺpec115]]+Tabuľka3[[#This Row],[Stĺpec120]]+Tabuľka3[[#This Row],[Stĺpec124]]+Tabuľka3[[#This Row],[Stĺpec141]]+Tabuľka3[[#This Row],[Stĺpec149]]+Tabuľka3[[#This Row],[Stĺpec150]]+Tabuľka3[[#This Row],[Stĺpec166]]+Tabuľka3[[#This Row],[Stĺpec234]]+Tabuľka3[[#This Row],[Stĺpec284]]+Tabuľka3[[#This Row],[Stĺpec275]]+Tabuľka3[[#This Row],[Stĺpec177]]+Tabuľka3[[#This Row],[Stĺpec210]]</f>
        <v>293.2</v>
      </c>
      <c r="CO8" s="1">
        <v>9</v>
      </c>
      <c r="CP8" s="1">
        <v>9</v>
      </c>
      <c r="CU8" s="1">
        <v>21</v>
      </c>
      <c r="CW8" s="1">
        <v>19</v>
      </c>
      <c r="DJ8"/>
      <c r="DK8"/>
      <c r="DL8">
        <f>8+12</f>
        <v>20</v>
      </c>
      <c r="DM8"/>
      <c r="DN8"/>
      <c r="DO8"/>
      <c r="DP8">
        <f>9+10</f>
        <v>19</v>
      </c>
      <c r="DQ8"/>
      <c r="DR8"/>
      <c r="DS8"/>
      <c r="DT8">
        <f>9+12</f>
        <v>21</v>
      </c>
      <c r="DU8"/>
      <c r="DV8"/>
      <c r="DW8"/>
      <c r="DX8">
        <f>9+11</f>
        <v>20</v>
      </c>
      <c r="DY8"/>
      <c r="DZ8"/>
      <c r="EA8"/>
      <c r="ER8"/>
      <c r="ES8"/>
      <c r="ET8">
        <f>(6+10)*1.2</f>
        <v>19.2</v>
      </c>
      <c r="EU8"/>
      <c r="EV8"/>
      <c r="EW8"/>
      <c r="EX8">
        <f>8+8</f>
        <v>16</v>
      </c>
      <c r="EY8"/>
      <c r="EZ8"/>
      <c r="FA8"/>
      <c r="FB8">
        <f>(6+9)*1.2</f>
        <v>18</v>
      </c>
      <c r="FC8"/>
      <c r="FD8"/>
      <c r="FE8"/>
      <c r="FF8">
        <f>8+11</f>
        <v>19</v>
      </c>
      <c r="FG8"/>
      <c r="FH8" s="268"/>
      <c r="FI8" s="268"/>
      <c r="FJ8" s="268"/>
      <c r="FK8" s="268"/>
      <c r="FL8" s="268"/>
      <c r="FM8" s="264"/>
      <c r="FN8" s="268"/>
      <c r="FO8" s="268"/>
      <c r="FP8" s="264"/>
      <c r="FQ8" s="268"/>
      <c r="FR8" s="268"/>
      <c r="FS8" s="268"/>
      <c r="FT8" s="264">
        <f>5+6</f>
        <v>11</v>
      </c>
      <c r="FU8" s="264">
        <f>9+11</f>
        <v>20</v>
      </c>
      <c r="FV8" s="268"/>
      <c r="FW8" s="268"/>
      <c r="FX8" s="268"/>
      <c r="FY8" s="268"/>
      <c r="FZ8" s="268"/>
      <c r="GA8" s="264">
        <v>12</v>
      </c>
      <c r="GB8" s="268"/>
      <c r="GC8" s="264">
        <f>9+12</f>
        <v>21</v>
      </c>
      <c r="GD8" s="268"/>
      <c r="GE8" s="264"/>
      <c r="GF8" s="268"/>
      <c r="GG8" s="268"/>
      <c r="GH8" s="268"/>
      <c r="GI8" s="268"/>
      <c r="GJ8" s="268"/>
      <c r="GK8" s="268">
        <f>9+12</f>
        <v>21</v>
      </c>
      <c r="GL8" s="268"/>
      <c r="GM8" s="268">
        <f>7+9</f>
        <v>16</v>
      </c>
      <c r="GN8" s="268"/>
      <c r="GO8" s="268"/>
      <c r="GP8" s="268"/>
      <c r="GQ8" s="268"/>
      <c r="GR8" s="268"/>
      <c r="GS8" s="268">
        <f>6+7</f>
        <v>13</v>
      </c>
      <c r="GT8" s="268">
        <f>9+9</f>
        <v>18</v>
      </c>
      <c r="GU8" s="268"/>
      <c r="GV8" s="268"/>
      <c r="GW8" s="268"/>
      <c r="GX8" s="268"/>
      <c r="GY8" s="268"/>
      <c r="GZ8" s="268"/>
      <c r="HA8" s="268">
        <f>6+9</f>
        <v>15</v>
      </c>
      <c r="HB8" s="268">
        <f>5+5</f>
        <v>10</v>
      </c>
      <c r="HC8" s="268"/>
      <c r="HD8" s="268"/>
      <c r="HE8" s="268"/>
      <c r="HF8" s="268"/>
      <c r="HG8" s="268"/>
      <c r="HH8" s="268"/>
      <c r="HI8" s="268"/>
      <c r="HJ8" s="268"/>
      <c r="HK8" s="268"/>
      <c r="HL8" s="268"/>
      <c r="HS8" s="1">
        <v>14.399999999999999</v>
      </c>
      <c r="HT8" s="1">
        <v>13.2</v>
      </c>
      <c r="JK8" s="1">
        <f>15*1.2</f>
        <v>18</v>
      </c>
      <c r="JL8" s="1">
        <v>14</v>
      </c>
      <c r="JQ8" s="1">
        <f>11*1.2</f>
        <v>13.2</v>
      </c>
      <c r="JX8" s="1">
        <v>12</v>
      </c>
      <c r="JY8" s="1">
        <v>14</v>
      </c>
      <c r="KS8" s="1">
        <v>14</v>
      </c>
      <c r="KU8" s="1">
        <v>19</v>
      </c>
    </row>
    <row r="9" spans="1:319" ht="18" customHeight="1" x14ac:dyDescent="0.3">
      <c r="A9" s="14">
        <v>2</v>
      </c>
      <c r="B9" s="13" t="s">
        <v>130</v>
      </c>
      <c r="C9" s="1">
        <v>9453</v>
      </c>
      <c r="D9" s="1">
        <v>2012</v>
      </c>
      <c r="E9" t="s">
        <v>129</v>
      </c>
      <c r="F9" s="1">
        <v>338</v>
      </c>
      <c r="G9" s="1" t="s">
        <v>434</v>
      </c>
      <c r="H9" t="s">
        <v>127</v>
      </c>
      <c r="I9" s="1">
        <f>SUM(K9:LG9)</f>
        <v>501.4</v>
      </c>
      <c r="J9" s="14">
        <f>Tabuľka3[[#This Row],[Stĺpec91]]+Tabuľka3[[#This Row],[Stĺpec98]]+Tabuľka3[[#This Row],[Stĺpec106]]+Tabuľka3[[#This Row],[Stĺpec115]]+Tabuľka3[[#This Row],[Stĺpec116]]+Tabuľka3[[#This Row],[Stĺpec124]]+Tabuľka3[[#This Row],[Stĺpec146]]+Tabuľka3[[#This Row],[Stĺpec151]]+Tabuľka3[[#This Row],[Stĺpec166]]+Tabuľka3[[#This Row],[Stĺpec234]]+Tabuľka3[[#This Row],[Stĺpec274]]+Tabuľka3[[#This Row],[Stĺpec266]]+Tabuľka3[[#This Row],[Stĺpec231]]+Tabuľka3[[#This Row],[Stĺpec237]]+Tabuľka3[[#This Row],[Stĺpec125]]</f>
        <v>288.2</v>
      </c>
      <c r="CF9" s="1">
        <v>15.6</v>
      </c>
      <c r="CH9" s="1">
        <v>9.6</v>
      </c>
      <c r="CI9" s="1">
        <v>19.2</v>
      </c>
      <c r="CP9" s="1">
        <v>18</v>
      </c>
      <c r="CW9" s="1">
        <v>16</v>
      </c>
      <c r="CX9" s="1">
        <v>21</v>
      </c>
      <c r="DJ9"/>
      <c r="DK9"/>
      <c r="DL9"/>
      <c r="DM9"/>
      <c r="DN9"/>
      <c r="DO9"/>
      <c r="DP9">
        <f>8+10</f>
        <v>18</v>
      </c>
      <c r="DQ9">
        <f>10+11</f>
        <v>21</v>
      </c>
      <c r="DR9"/>
      <c r="DS9"/>
      <c r="DT9"/>
      <c r="DU9"/>
      <c r="DV9"/>
      <c r="DW9"/>
      <c r="DX9">
        <f>8+11</f>
        <v>19</v>
      </c>
      <c r="DY9">
        <f>10+13</f>
        <v>23</v>
      </c>
      <c r="DZ9"/>
      <c r="EA9"/>
      <c r="ER9"/>
      <c r="ES9"/>
      <c r="ET9"/>
      <c r="EU9"/>
      <c r="EV9"/>
      <c r="EW9"/>
      <c r="EX9">
        <f>4+7</f>
        <v>11</v>
      </c>
      <c r="EY9">
        <f>7+12</f>
        <v>19</v>
      </c>
      <c r="EZ9"/>
      <c r="FA9"/>
      <c r="FB9"/>
      <c r="FC9"/>
      <c r="FD9"/>
      <c r="FE9"/>
      <c r="FF9">
        <f>6+8</f>
        <v>14</v>
      </c>
      <c r="FG9">
        <f>8+9</f>
        <v>17</v>
      </c>
      <c r="FH9"/>
      <c r="FI9"/>
      <c r="FJ9"/>
      <c r="FK9"/>
      <c r="FL9"/>
      <c r="FM9" s="266"/>
      <c r="FN9"/>
      <c r="FO9"/>
      <c r="FP9" s="266"/>
      <c r="FQ9"/>
      <c r="FR9"/>
      <c r="FS9"/>
      <c r="FT9" t="s">
        <v>1</v>
      </c>
      <c r="FU9" s="267">
        <f>8+10</f>
        <v>18</v>
      </c>
      <c r="FV9" s="267">
        <f>7+9</f>
        <v>16</v>
      </c>
      <c r="FW9"/>
      <c r="FX9"/>
      <c r="FY9"/>
      <c r="FZ9"/>
      <c r="GA9"/>
      <c r="GB9"/>
      <c r="GC9" s="267">
        <f>8+9</f>
        <v>17</v>
      </c>
      <c r="GD9" s="267">
        <f>5+8</f>
        <v>13</v>
      </c>
      <c r="GE9" s="266"/>
      <c r="GF9"/>
      <c r="GG9"/>
      <c r="GH9"/>
      <c r="GI9"/>
      <c r="GJ9"/>
      <c r="GK9"/>
      <c r="GL9">
        <f>7+8</f>
        <v>15</v>
      </c>
      <c r="GM9">
        <f>6+8</f>
        <v>14</v>
      </c>
      <c r="GN9"/>
      <c r="GO9"/>
      <c r="GP9"/>
      <c r="GQ9"/>
      <c r="GR9"/>
      <c r="GS9"/>
      <c r="GT9">
        <f>7+8</f>
        <v>15</v>
      </c>
      <c r="GU9">
        <f>9+13</f>
        <v>22</v>
      </c>
      <c r="GV9"/>
      <c r="GW9"/>
      <c r="GX9"/>
      <c r="GY9"/>
      <c r="GZ9"/>
      <c r="HA9"/>
      <c r="HB9"/>
      <c r="HC9">
        <f>8+10</f>
        <v>18</v>
      </c>
      <c r="HD9"/>
      <c r="HE9"/>
      <c r="HF9"/>
      <c r="HG9"/>
      <c r="HH9"/>
      <c r="HI9"/>
      <c r="HJ9"/>
      <c r="HK9"/>
      <c r="HL9"/>
      <c r="IA9" s="1">
        <v>13</v>
      </c>
      <c r="ID9" s="1">
        <v>12</v>
      </c>
      <c r="IH9" s="1">
        <v>8</v>
      </c>
      <c r="II9" s="1">
        <v>13</v>
      </c>
      <c r="IR9" s="1">
        <v>15</v>
      </c>
      <c r="IS9" s="1">
        <v>20</v>
      </c>
      <c r="IV9" s="1">
        <v>13</v>
      </c>
      <c r="IY9" s="1">
        <v>18</v>
      </c>
    </row>
    <row r="10" spans="1:319" s="12" customFormat="1" ht="18" customHeight="1" x14ac:dyDescent="0.3">
      <c r="A10" s="14">
        <v>3</v>
      </c>
      <c r="B10" s="13" t="s">
        <v>126</v>
      </c>
      <c r="C10" s="1">
        <v>9070</v>
      </c>
      <c r="D10" s="1">
        <v>2011</v>
      </c>
      <c r="E10" t="s">
        <v>125</v>
      </c>
      <c r="F10" s="1">
        <v>2965</v>
      </c>
      <c r="G10" s="1" t="s">
        <v>434</v>
      </c>
      <c r="H10" t="s">
        <v>127</v>
      </c>
      <c r="I10" s="1">
        <f>SUM(K10:LG10)</f>
        <v>505.6</v>
      </c>
      <c r="J10" s="14">
        <f>Tabuľka3[[#This Row],[Stĺpec105]]+Tabuľka3[[#This Row],[Stĺpec106]]+Tabuľka3[[#This Row],[Stĺpec115]]+Tabuľka3[[#This Row],[Stĺpec116]]+Tabuľka3[[#This Row],[Stĺpec124]]+Tabuľka3[[#This Row],[Stĺpec125]]+Tabuľka3[[#This Row],[Stĺpec146]]+Tabuľka3[[#This Row],[Stĺpec151]]+Tabuľka3[[#This Row],[Stĺpec234]]+Tabuľka3[[#This Row],[Stĺpec283]]+Tabuľka3[[#This Row],[Stĺpec274]]+Tabuľka3[[#This Row],[Stĺpec266]]+Tabuľka3[[#This Row],[Stĺpec250]]+Tabuľka3[[#This Row],[Stĺpec179]]+Tabuľka3[[#This Row],[Stĺpec191]]</f>
        <v>272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>
        <f>(3+6)*1.2</f>
        <v>10.799999999999999</v>
      </c>
      <c r="CG10" s="1"/>
      <c r="CH10" s="1">
        <f>(4+0)*1.2</f>
        <v>4.8</v>
      </c>
      <c r="CI10" s="1"/>
      <c r="CJ10" s="1"/>
      <c r="CK10" s="1"/>
      <c r="CL10" s="1"/>
      <c r="CM10" s="1"/>
      <c r="CN10" s="1"/>
      <c r="CO10" s="1"/>
      <c r="CP10" s="1">
        <v>10</v>
      </c>
      <c r="CQ10" s="1"/>
      <c r="CR10" s="1"/>
      <c r="CS10" s="1"/>
      <c r="CT10" s="1"/>
      <c r="CU10" s="1"/>
      <c r="CV10" s="1"/>
      <c r="CW10" s="1">
        <v>17</v>
      </c>
      <c r="CX10" s="1">
        <v>17</v>
      </c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/>
      <c r="DK10"/>
      <c r="DL10"/>
      <c r="DM10"/>
      <c r="DN10"/>
      <c r="DO10"/>
      <c r="DP10">
        <f>7+10</f>
        <v>17</v>
      </c>
      <c r="DQ10">
        <f>9+11</f>
        <v>20</v>
      </c>
      <c r="DR10"/>
      <c r="DS10"/>
      <c r="DT10"/>
      <c r="DU10"/>
      <c r="DV10"/>
      <c r="DW10"/>
      <c r="DX10">
        <f>7+9</f>
        <v>16</v>
      </c>
      <c r="DY10">
        <f>9+13</f>
        <v>22</v>
      </c>
      <c r="DZ10"/>
      <c r="EA10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/>
      <c r="ES10"/>
      <c r="ET10"/>
      <c r="EU10"/>
      <c r="EV10"/>
      <c r="EW10"/>
      <c r="EX10">
        <v>5</v>
      </c>
      <c r="EY10">
        <f>8+13</f>
        <v>21</v>
      </c>
      <c r="EZ10"/>
      <c r="FA10"/>
      <c r="FB10"/>
      <c r="FC10"/>
      <c r="FD10"/>
      <c r="FE10"/>
      <c r="FF10">
        <v>8</v>
      </c>
      <c r="FG10">
        <f>9+9</f>
        <v>18</v>
      </c>
      <c r="FH10"/>
      <c r="FI10"/>
      <c r="FJ10"/>
      <c r="FK10"/>
      <c r="FL10"/>
      <c r="FM10" s="266"/>
      <c r="FN10"/>
      <c r="FO10"/>
      <c r="FP10" s="266"/>
      <c r="FQ10"/>
      <c r="FR10"/>
      <c r="FS10"/>
      <c r="FT10"/>
      <c r="FU10" s="267">
        <f t="shared" ref="FU10:FV10" si="0">6+9</f>
        <v>15</v>
      </c>
      <c r="FV10" s="267">
        <f t="shared" si="0"/>
        <v>15</v>
      </c>
      <c r="FW10"/>
      <c r="FX10"/>
      <c r="FY10"/>
      <c r="FZ10"/>
      <c r="GA10"/>
      <c r="GB10"/>
      <c r="GC10" s="267">
        <f>7+9</f>
        <v>16</v>
      </c>
      <c r="GD10" s="267">
        <f>6+8</f>
        <v>14</v>
      </c>
      <c r="GE10" s="266"/>
      <c r="GF10"/>
      <c r="GG10"/>
      <c r="GH10"/>
      <c r="GI10"/>
      <c r="GJ10"/>
      <c r="GK10"/>
      <c r="GL10">
        <f>9+9</f>
        <v>18</v>
      </c>
      <c r="GM10">
        <f>5+8</f>
        <v>13</v>
      </c>
      <c r="GN10"/>
      <c r="GO10"/>
      <c r="GP10"/>
      <c r="GQ10"/>
      <c r="GR10"/>
      <c r="GS10"/>
      <c r="GT10">
        <f>7+8</f>
        <v>15</v>
      </c>
      <c r="GU10">
        <f>7+12</f>
        <v>19</v>
      </c>
      <c r="GV10"/>
      <c r="GW10"/>
      <c r="GX10"/>
      <c r="GY10"/>
      <c r="GZ10"/>
      <c r="HA10"/>
      <c r="HB10"/>
      <c r="HC10">
        <f>9+11</f>
        <v>20</v>
      </c>
      <c r="HD10"/>
      <c r="HE10"/>
      <c r="HF10"/>
      <c r="HG10"/>
      <c r="HH10"/>
      <c r="HI10"/>
      <c r="HJ10"/>
      <c r="HK10"/>
      <c r="HL10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>
        <v>8</v>
      </c>
      <c r="IB10" s="1"/>
      <c r="IC10" s="1"/>
      <c r="ID10" s="1">
        <v>13</v>
      </c>
      <c r="IE10" s="1"/>
      <c r="IF10" s="1"/>
      <c r="IG10" s="1"/>
      <c r="IH10" s="1">
        <v>13</v>
      </c>
      <c r="II10" s="1">
        <v>16</v>
      </c>
      <c r="IJ10" s="1"/>
      <c r="IK10" s="1"/>
      <c r="IL10" s="1"/>
      <c r="IM10" s="1"/>
      <c r="IN10" s="1"/>
      <c r="IO10" s="1"/>
      <c r="IP10" s="1"/>
      <c r="IQ10" s="1"/>
      <c r="IR10" s="1">
        <v>12</v>
      </c>
      <c r="IS10" s="1">
        <v>14</v>
      </c>
      <c r="IT10" s="1"/>
      <c r="IU10" s="1"/>
      <c r="IV10" s="1">
        <v>16</v>
      </c>
      <c r="IW10" s="1"/>
      <c r="IX10" s="1"/>
      <c r="IY10" s="1">
        <v>16</v>
      </c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>
        <v>15</v>
      </c>
      <c r="JM10" s="1">
        <v>17</v>
      </c>
      <c r="JN10" s="1"/>
      <c r="JO10" s="1"/>
      <c r="JP10" s="1"/>
      <c r="JQ10" s="1"/>
      <c r="JR10" s="1">
        <v>16</v>
      </c>
      <c r="JS10" s="1"/>
      <c r="JT10" s="1"/>
      <c r="JU10" s="1"/>
      <c r="JV10" s="1"/>
      <c r="JW10" s="1"/>
      <c r="JX10" s="1"/>
      <c r="JY10" s="1">
        <v>18</v>
      </c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</row>
    <row r="11" spans="1:319" s="12" customFormat="1" ht="18" customHeight="1" x14ac:dyDescent="0.25">
      <c r="A11" s="14">
        <v>4</v>
      </c>
      <c r="B11" s="13" t="s">
        <v>128</v>
      </c>
      <c r="C11" s="1">
        <v>10269</v>
      </c>
      <c r="D11" s="1">
        <v>2014</v>
      </c>
      <c r="E11" t="s">
        <v>125</v>
      </c>
      <c r="F11" s="1">
        <v>2965</v>
      </c>
      <c r="G11" s="1" t="s">
        <v>434</v>
      </c>
      <c r="H11" t="s">
        <v>127</v>
      </c>
      <c r="I11" s="1">
        <f>SUM(K11:LG11)</f>
        <v>500.6</v>
      </c>
      <c r="J11" s="14">
        <f>Tabuľka3[[#This Row],[Stĺpec103]]+Tabuľka3[[#This Row],[Stĺpec111]]+Tabuľka3[[#This Row],[Stĺpec116]]+Tabuľka3[[#This Row],[Stĺpec120]]+Tabuľka3[[#This Row],[Stĺpec125]]+Tabuľka3[[#This Row],[Stĺpec166]]+Tabuľka3[[#This Row],[Stĺpec284]]+Tabuľka3[[#This Row],[Stĺpec274]]+Tabuľka3[[#This Row],[Stĺpec266]]+Tabuľka3[[#This Row],[Stĺpec299]]+Tabuľka3[[#This Row],[Stĺpec250]]+Tabuľka3[[#This Row],[Stĺpec178]]+Tabuľka3[[#This Row],[Stĺpec179]]+Tabuľka3[[#This Row],[Stĺpec184]]+Tabuľka3[[#This Row],[Stĺpec191]]</f>
        <v>267</v>
      </c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>
        <v>10.799999999999999</v>
      </c>
      <c r="CF11" s="11"/>
      <c r="CG11" s="11">
        <v>7.1999999999999993</v>
      </c>
      <c r="CH11" s="11"/>
      <c r="CI11" s="11"/>
      <c r="CJ11" s="11"/>
      <c r="CK11" s="11"/>
      <c r="CL11" s="11"/>
      <c r="CM11" s="11"/>
      <c r="CN11" s="11"/>
      <c r="CO11" s="11">
        <v>6</v>
      </c>
      <c r="CP11" s="11">
        <v>12</v>
      </c>
      <c r="CQ11" s="11"/>
      <c r="CR11" s="11"/>
      <c r="CS11" s="11"/>
      <c r="CT11" s="11"/>
      <c r="CU11" s="11">
        <v>17</v>
      </c>
      <c r="CV11" s="11"/>
      <c r="CW11" s="11">
        <v>13</v>
      </c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4"/>
      <c r="DK11" s="4"/>
      <c r="DL11" s="4">
        <f>9+12</f>
        <v>21</v>
      </c>
      <c r="DM11" s="4"/>
      <c r="DN11" s="4"/>
      <c r="DO11" s="4"/>
      <c r="DP11" s="4"/>
      <c r="DQ11" s="4">
        <f>7+10</f>
        <v>17</v>
      </c>
      <c r="DR11" s="4"/>
      <c r="DS11" s="4"/>
      <c r="DT11" s="4">
        <f>8+12</f>
        <v>20</v>
      </c>
      <c r="DU11" s="4"/>
      <c r="DV11" s="4"/>
      <c r="DW11" s="4"/>
      <c r="DX11" s="4"/>
      <c r="DY11" s="4">
        <f>8+12</f>
        <v>20</v>
      </c>
      <c r="DZ11" s="4"/>
      <c r="EA11" s="4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4"/>
      <c r="ES11" s="4"/>
      <c r="ET11" s="4">
        <f>(4+8)*1.2</f>
        <v>14.399999999999999</v>
      </c>
      <c r="EU11" s="4"/>
      <c r="EV11" s="4"/>
      <c r="EW11" s="4"/>
      <c r="EX11" s="4">
        <f>6+8</f>
        <v>14</v>
      </c>
      <c r="EY11" s="4"/>
      <c r="EZ11" s="4"/>
      <c r="FA11" s="4"/>
      <c r="FB11" s="4">
        <f>(4+7)*1.2</f>
        <v>13.2</v>
      </c>
      <c r="FC11" s="4"/>
      <c r="FD11" s="4"/>
      <c r="FE11" s="4"/>
      <c r="FF11" s="4">
        <f>3+8</f>
        <v>11</v>
      </c>
      <c r="FG11" s="4"/>
      <c r="FH11" s="4"/>
      <c r="FI11" s="4"/>
      <c r="FJ11" s="4"/>
      <c r="FK11" s="4"/>
      <c r="FL11" s="4"/>
      <c r="FM11" s="264"/>
      <c r="FN11" s="4"/>
      <c r="FO11" s="4"/>
      <c r="FP11" s="264"/>
      <c r="FQ11" s="4"/>
      <c r="FR11" s="4"/>
      <c r="FS11" s="4"/>
      <c r="FT11" s="4"/>
      <c r="FU11" s="264">
        <f>7+10</f>
        <v>17</v>
      </c>
      <c r="FV11" s="264">
        <f>5+8</f>
        <v>13</v>
      </c>
      <c r="FW11" s="4"/>
      <c r="FX11" s="4"/>
      <c r="FY11" s="4"/>
      <c r="FZ11" s="4"/>
      <c r="GA11" s="264">
        <v>12</v>
      </c>
      <c r="GB11" s="4"/>
      <c r="GC11" s="4"/>
      <c r="GD11" s="264">
        <f>7+8</f>
        <v>15</v>
      </c>
      <c r="GE11" s="264"/>
      <c r="GF11" s="4"/>
      <c r="GG11" s="4"/>
      <c r="GH11" s="4"/>
      <c r="GI11" s="4"/>
      <c r="GJ11" s="4"/>
      <c r="GK11" s="4">
        <f>8+12</f>
        <v>20</v>
      </c>
      <c r="GL11" s="4"/>
      <c r="GM11" s="4">
        <f>4+7</f>
        <v>11</v>
      </c>
      <c r="GN11" s="4"/>
      <c r="GO11" s="4"/>
      <c r="GP11" s="4"/>
      <c r="GQ11" s="4"/>
      <c r="GR11" s="4"/>
      <c r="GS11" s="4"/>
      <c r="GT11" s="4">
        <f>5+6</f>
        <v>11</v>
      </c>
      <c r="GU11" s="4">
        <f>6+11</f>
        <v>17</v>
      </c>
      <c r="GV11" s="4"/>
      <c r="GW11" s="4"/>
      <c r="GX11" s="4"/>
      <c r="GY11" s="4"/>
      <c r="GZ11" s="4"/>
      <c r="HA11" s="4"/>
      <c r="HB11" s="4"/>
      <c r="HC11" s="4">
        <f>7+9</f>
        <v>16</v>
      </c>
      <c r="HD11" s="4"/>
      <c r="HE11" s="4"/>
      <c r="HF11" s="4"/>
      <c r="HG11" s="4"/>
      <c r="HH11" s="4"/>
      <c r="HI11" s="4"/>
      <c r="HJ11" s="4"/>
      <c r="HK11" s="4"/>
      <c r="HL11" s="4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>
        <v>16</v>
      </c>
      <c r="IB11" s="11"/>
      <c r="IC11" s="11"/>
      <c r="ID11" s="11"/>
      <c r="IE11" s="11"/>
      <c r="IF11" s="11">
        <v>12</v>
      </c>
      <c r="IG11" s="11"/>
      <c r="IH11" s="11"/>
      <c r="II11" s="11">
        <v>17</v>
      </c>
      <c r="IJ11" s="11">
        <v>12</v>
      </c>
      <c r="IK11" s="11"/>
      <c r="IL11" s="11"/>
      <c r="IM11" s="11"/>
      <c r="IN11" s="11"/>
      <c r="IO11" s="11"/>
      <c r="IP11" s="11"/>
      <c r="IQ11" s="11"/>
      <c r="IR11" s="11">
        <v>11</v>
      </c>
      <c r="IS11" s="11">
        <v>15</v>
      </c>
      <c r="IT11" s="11"/>
      <c r="IU11" s="11"/>
      <c r="IV11" s="11">
        <v>8</v>
      </c>
      <c r="IW11" s="11"/>
      <c r="IX11" s="11"/>
      <c r="IY11" s="11">
        <v>12</v>
      </c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>
        <v>17</v>
      </c>
      <c r="JM11" s="11">
        <v>18</v>
      </c>
      <c r="JN11" s="11"/>
      <c r="JO11" s="11"/>
      <c r="JP11" s="11"/>
      <c r="JQ11" s="11"/>
      <c r="JR11" s="11">
        <v>17</v>
      </c>
      <c r="JS11" s="11"/>
      <c r="JT11" s="11"/>
      <c r="JU11" s="11"/>
      <c r="JV11" s="11"/>
      <c r="JW11" s="11"/>
      <c r="JX11" s="11"/>
      <c r="JY11" s="11">
        <v>17</v>
      </c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</row>
    <row r="12" spans="1:319" s="12" customFormat="1" ht="18" customHeight="1" x14ac:dyDescent="0.3">
      <c r="A12" s="14">
        <v>5</v>
      </c>
      <c r="B12" s="13" t="s">
        <v>122</v>
      </c>
      <c r="C12" s="1">
        <v>9443</v>
      </c>
      <c r="D12" s="1">
        <v>2008</v>
      </c>
      <c r="E12" t="s">
        <v>118</v>
      </c>
      <c r="F12" s="1">
        <v>6972</v>
      </c>
      <c r="G12" s="1" t="s">
        <v>434</v>
      </c>
      <c r="H12" t="s">
        <v>120</v>
      </c>
      <c r="I12" s="1">
        <f>SUM(K12:LG12)</f>
        <v>251.4</v>
      </c>
      <c r="J12" s="14">
        <f>I12</f>
        <v>251.4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>
        <v>24</v>
      </c>
      <c r="BR12" s="1"/>
      <c r="BS12" s="1">
        <v>21</v>
      </c>
      <c r="BT12" s="1"/>
      <c r="BU12" s="1">
        <v>24</v>
      </c>
      <c r="BV12" s="1"/>
      <c r="BW12" s="1"/>
      <c r="BX12" s="1"/>
      <c r="BY12" s="1"/>
      <c r="BZ12" s="1"/>
      <c r="CA12" s="1">
        <v>15.6</v>
      </c>
      <c r="CB12" s="1">
        <v>27.599999999999998</v>
      </c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>
        <v>15</v>
      </c>
      <c r="CR12" s="1"/>
      <c r="CS12" s="1"/>
      <c r="CT12" s="1"/>
      <c r="CU12" s="1"/>
      <c r="CV12" s="1"/>
      <c r="CW12" s="1"/>
      <c r="CX12" s="1"/>
      <c r="CY12" s="1">
        <v>15</v>
      </c>
      <c r="CZ12" s="1"/>
      <c r="DA12" s="1"/>
      <c r="DB12" s="1"/>
      <c r="DC12"/>
      <c r="DD12"/>
      <c r="DE12">
        <f>(10+14)*1.2</f>
        <v>28.799999999999997</v>
      </c>
      <c r="DF12"/>
      <c r="DG12"/>
      <c r="DH12"/>
      <c r="DI12">
        <f>(12+15)*1.2</f>
        <v>32.4</v>
      </c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/>
      <c r="FI12"/>
      <c r="FJ12"/>
      <c r="FK12"/>
      <c r="FL12"/>
      <c r="FM12" s="264"/>
      <c r="FN12"/>
      <c r="FO12"/>
      <c r="FP12" s="264"/>
      <c r="FQ12"/>
      <c r="FR12"/>
      <c r="FS12"/>
      <c r="FT12"/>
      <c r="FU12"/>
      <c r="FV12"/>
      <c r="FW12" s="265">
        <v>15</v>
      </c>
      <c r="FX12"/>
      <c r="FY12"/>
      <c r="FZ12"/>
      <c r="GA12"/>
      <c r="GB12"/>
      <c r="GC12"/>
      <c r="GD12"/>
      <c r="GE12" s="264">
        <v>15</v>
      </c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>
        <v>18</v>
      </c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</row>
    <row r="13" spans="1:319" s="12" customFormat="1" ht="18" customHeight="1" x14ac:dyDescent="0.25">
      <c r="A13" s="14">
        <v>6</v>
      </c>
      <c r="B13" s="13" t="s">
        <v>304</v>
      </c>
      <c r="C13" s="1">
        <v>10844</v>
      </c>
      <c r="D13" s="1">
        <v>2006</v>
      </c>
      <c r="E13" t="s">
        <v>303</v>
      </c>
      <c r="F13" s="1">
        <v>7365</v>
      </c>
      <c r="G13" s="1" t="s">
        <v>432</v>
      </c>
      <c r="H13" t="s">
        <v>435</v>
      </c>
      <c r="I13" s="1">
        <f>SUM(K13:LG13)</f>
        <v>351.39999999999992</v>
      </c>
      <c r="J13" s="14">
        <f>Tabuľka3[[#This Row],[Stĺpec32]]+Tabuľka3[[#This Row],[Stĺpec33]]+Tabuľka3[[#This Row],[Stĺpec47]]+Tabuľka3[[#This Row],[Stĺpec66]]+Tabuľka3[[#This Row],[Stĺpec136]]+Tabuľka3[[#This Row],[Stĺpec137]]+Tabuľka3[[#This Row],[Stĺpec138]]+Tabuľka3[[#This Row],[Stĺpec264]]+Tabuľka3[[#This Row],[Stĺpec253]]+Tabuľka3[[#This Row],[Stĺpec308]]+Tabuľka3[[#This Row],[Stĺpec183]]+Tabuľka3[[#This Row],[Stĺpec192]]+Tabuľka3[[#This Row],[Stĺpec421]]+Tabuľka3[[#This Row],[Stĺpec207]]+Tabuľka3[[#This Row],[Stĺpec209]]</f>
        <v>235.4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>
        <v>17</v>
      </c>
      <c r="AG13" s="1">
        <v>17</v>
      </c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>
        <v>12</v>
      </c>
      <c r="AU13" s="1">
        <v>14.399999999999999</v>
      </c>
      <c r="AV13" s="1">
        <v>10.799999999999999</v>
      </c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>
        <v>15</v>
      </c>
      <c r="BL13" s="1"/>
      <c r="BM13" s="1"/>
      <c r="BN13" s="1"/>
      <c r="BO13" s="1">
        <v>4.8</v>
      </c>
      <c r="BP13" s="1">
        <v>7.2</v>
      </c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/>
      <c r="DD13">
        <f>(2+7)*1.2</f>
        <v>10.799999999999999</v>
      </c>
      <c r="DE13"/>
      <c r="DF13">
        <f>(0+6)*1.2</f>
        <v>7.1999999999999993</v>
      </c>
      <c r="DG13"/>
      <c r="DH13">
        <f>(2+8)*1.2</f>
        <v>12</v>
      </c>
      <c r="DI13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>
        <f>(6+9)*1.2</f>
        <v>18</v>
      </c>
      <c r="EP13">
        <f>(6+9)*1.2</f>
        <v>18</v>
      </c>
      <c r="EQ13">
        <f>(6+9)*1.2</f>
        <v>18</v>
      </c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268"/>
      <c r="FI13" s="268"/>
      <c r="FJ13" s="268"/>
      <c r="FK13" s="268"/>
      <c r="FL13" s="268"/>
      <c r="FM13" s="264"/>
      <c r="FN13" s="268"/>
      <c r="FO13" s="268"/>
      <c r="FP13" s="264"/>
      <c r="FQ13" s="268"/>
      <c r="FR13" s="268"/>
      <c r="FS13" s="268"/>
      <c r="FT13" s="268"/>
      <c r="FU13" s="268"/>
      <c r="FV13" s="268"/>
      <c r="FW13" s="268"/>
      <c r="FX13" s="268"/>
      <c r="FY13" s="268"/>
      <c r="FZ13" s="268"/>
      <c r="GA13" s="268"/>
      <c r="GB13" s="268"/>
      <c r="GC13" s="268"/>
      <c r="GD13" s="268"/>
      <c r="GE13" s="264"/>
      <c r="GF13" s="268"/>
      <c r="GG13" s="268"/>
      <c r="GH13" s="268"/>
      <c r="GI13" s="268"/>
      <c r="GJ13" s="268"/>
      <c r="GK13" s="268"/>
      <c r="GL13" s="268"/>
      <c r="GM13" s="268"/>
      <c r="GN13" s="268"/>
      <c r="GO13" s="268"/>
      <c r="GP13" s="268"/>
      <c r="GQ13" s="268"/>
      <c r="GR13" s="268"/>
      <c r="GS13" s="268"/>
      <c r="GT13" s="268"/>
      <c r="GU13" s="268"/>
      <c r="GV13" s="268"/>
      <c r="GW13" s="268"/>
      <c r="GX13" s="268"/>
      <c r="GY13" s="268"/>
      <c r="GZ13" s="268"/>
      <c r="HA13" s="268"/>
      <c r="HB13" s="268"/>
      <c r="HC13" s="268"/>
      <c r="HD13" s="268">
        <f>0+3</f>
        <v>3</v>
      </c>
      <c r="HE13" s="268">
        <f>8+9</f>
        <v>17</v>
      </c>
      <c r="HF13" s="268"/>
      <c r="HG13" s="268"/>
      <c r="HH13" s="268"/>
      <c r="HI13" s="268"/>
      <c r="HJ13" s="268"/>
      <c r="HK13" s="268"/>
      <c r="HL13" s="268"/>
      <c r="HM13" s="1"/>
      <c r="HN13" s="1"/>
      <c r="HO13" s="1"/>
      <c r="HP13" s="1">
        <v>13.2</v>
      </c>
      <c r="HQ13" s="1">
        <v>12</v>
      </c>
      <c r="HR13" s="1">
        <v>13.2</v>
      </c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>
        <v>8</v>
      </c>
      <c r="JF13" s="1">
        <v>9</v>
      </c>
      <c r="JG13" s="1"/>
      <c r="JH13" s="268"/>
      <c r="JI13" s="268"/>
      <c r="JJ13" s="268"/>
      <c r="JK13" s="268">
        <f>(4+7)*1.2</f>
        <v>13.2</v>
      </c>
      <c r="JL13" s="268"/>
      <c r="JM13" s="268"/>
      <c r="JN13" s="268"/>
      <c r="JO13" s="268"/>
      <c r="JP13" s="268"/>
      <c r="JQ13" s="268">
        <f>(6+8)*1.2</f>
        <v>16.8</v>
      </c>
      <c r="JR13" s="1"/>
      <c r="JS13" s="1"/>
      <c r="JT13" s="1"/>
      <c r="JU13" s="1"/>
      <c r="JV13" s="1"/>
      <c r="JW13" s="1"/>
      <c r="JX13" s="1"/>
      <c r="JY13" s="1"/>
      <c r="JZ13" s="1">
        <v>14.399999999999999</v>
      </c>
      <c r="KA13" s="1">
        <v>6</v>
      </c>
      <c r="KB13" s="1">
        <v>14.399999999999999</v>
      </c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>
        <v>15</v>
      </c>
      <c r="KS13" s="1"/>
      <c r="KT13" s="1">
        <v>14</v>
      </c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</row>
    <row r="14" spans="1:319" s="12" customFormat="1" ht="18" customHeight="1" x14ac:dyDescent="0.25">
      <c r="A14" s="14">
        <v>7</v>
      </c>
      <c r="B14" s="13" t="s">
        <v>138</v>
      </c>
      <c r="C14" s="1">
        <v>11346</v>
      </c>
      <c r="D14" s="1"/>
      <c r="E14" t="s">
        <v>134</v>
      </c>
      <c r="F14" s="1" t="s">
        <v>135</v>
      </c>
      <c r="G14" s="11" t="s">
        <v>434</v>
      </c>
      <c r="H14" s="4" t="s">
        <v>137</v>
      </c>
      <c r="I14" s="1">
        <f>SUM(K14:LG14)</f>
        <v>201</v>
      </c>
      <c r="J14" s="14">
        <f>Tabuľka3[[#This Row],[Stĺpec9]]</f>
        <v>201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>
        <v>12</v>
      </c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>
        <v>21</v>
      </c>
      <c r="BE14" s="1"/>
      <c r="BF14" s="1"/>
      <c r="BG14" s="1"/>
      <c r="BH14" s="1"/>
      <c r="BI14" s="1">
        <v>20</v>
      </c>
      <c r="BJ14" s="1">
        <v>21</v>
      </c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>
        <v>16</v>
      </c>
      <c r="CQ14" s="1"/>
      <c r="CR14" s="1"/>
      <c r="CS14" s="1"/>
      <c r="CT14" s="1"/>
      <c r="CU14" s="1"/>
      <c r="CV14" s="1"/>
      <c r="CW14" s="1"/>
      <c r="CX14" s="1">
        <v>20</v>
      </c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>
        <v>18</v>
      </c>
      <c r="JC14" s="1">
        <v>21</v>
      </c>
      <c r="JD14" s="1">
        <v>23</v>
      </c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>
        <v>10</v>
      </c>
      <c r="JT14" s="1"/>
      <c r="JU14" s="1"/>
      <c r="JV14" s="1"/>
      <c r="JW14" s="1"/>
      <c r="JX14" s="1"/>
      <c r="JY14" s="1">
        <v>19</v>
      </c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</row>
    <row r="15" spans="1:319" s="12" customFormat="1" ht="18" customHeight="1" x14ac:dyDescent="0.25">
      <c r="A15" s="14">
        <v>8</v>
      </c>
      <c r="B15" s="13" t="s">
        <v>145</v>
      </c>
      <c r="C15" s="1">
        <v>10202</v>
      </c>
      <c r="D15" s="1">
        <v>2014</v>
      </c>
      <c r="E15" t="s">
        <v>144</v>
      </c>
      <c r="F15" s="1">
        <v>7279</v>
      </c>
      <c r="G15" s="1" t="s">
        <v>434</v>
      </c>
      <c r="H15" t="s">
        <v>146</v>
      </c>
      <c r="I15" s="1">
        <f>SUM(K15:LG15)</f>
        <v>212.6</v>
      </c>
      <c r="J15" s="14">
        <v>190.6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>
        <v>9</v>
      </c>
      <c r="BI15" s="1"/>
      <c r="BJ15" s="1">
        <v>12</v>
      </c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>
        <v>4</v>
      </c>
      <c r="CP15" s="1">
        <v>3</v>
      </c>
      <c r="CQ15" s="1"/>
      <c r="CR15" s="1"/>
      <c r="CS15" s="1"/>
      <c r="CT15" s="1"/>
      <c r="CU15" s="1">
        <v>15</v>
      </c>
      <c r="CV15" s="1"/>
      <c r="CW15" s="1">
        <v>7</v>
      </c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/>
      <c r="DK15"/>
      <c r="DL15">
        <f>7+9</f>
        <v>16</v>
      </c>
      <c r="DM15"/>
      <c r="DN15"/>
      <c r="DO15"/>
      <c r="DP15">
        <f>6+7</f>
        <v>13</v>
      </c>
      <c r="DQ15"/>
      <c r="DR15"/>
      <c r="DS15"/>
      <c r="DT15">
        <f>7+9</f>
        <v>16</v>
      </c>
      <c r="DU15"/>
      <c r="DV15"/>
      <c r="DW15"/>
      <c r="DX15">
        <f>3+4</f>
        <v>7</v>
      </c>
      <c r="DY15"/>
      <c r="DZ15"/>
      <c r="EA15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/>
      <c r="ES15"/>
      <c r="ET15">
        <f>(3+7)*1.2</f>
        <v>12</v>
      </c>
      <c r="EU15"/>
      <c r="EV15"/>
      <c r="EW15"/>
      <c r="EX15">
        <v>4</v>
      </c>
      <c r="EY15"/>
      <c r="EZ15"/>
      <c r="FA15"/>
      <c r="FB15">
        <f>(3+5)*1.2</f>
        <v>9.6</v>
      </c>
      <c r="FC15"/>
      <c r="FD15"/>
      <c r="FE15"/>
      <c r="FF15">
        <f>7+9</f>
        <v>16</v>
      </c>
      <c r="FG15"/>
      <c r="FH15"/>
      <c r="FI15"/>
      <c r="FJ15"/>
      <c r="FK15"/>
      <c r="FL15"/>
      <c r="FM15" s="266"/>
      <c r="FN15"/>
      <c r="FO15"/>
      <c r="FP15" s="266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 s="266"/>
      <c r="GF15"/>
      <c r="GG15"/>
      <c r="GH15"/>
      <c r="GI15"/>
      <c r="GJ15"/>
      <c r="GK15">
        <f>7+11</f>
        <v>18</v>
      </c>
      <c r="GL15">
        <f>8+9</f>
        <v>17</v>
      </c>
      <c r="GM15"/>
      <c r="GN15"/>
      <c r="GO15"/>
      <c r="GP15"/>
      <c r="GQ15"/>
      <c r="GR15"/>
      <c r="GS15"/>
      <c r="GT15">
        <v>5</v>
      </c>
      <c r="GU15"/>
      <c r="GV15"/>
      <c r="GW15"/>
      <c r="GX15"/>
      <c r="GY15"/>
      <c r="GZ15"/>
      <c r="HA15">
        <f>4+7</f>
        <v>11</v>
      </c>
      <c r="HB15">
        <f>6+6</f>
        <v>12</v>
      </c>
      <c r="HC15"/>
      <c r="HD15"/>
      <c r="HE15"/>
      <c r="HF15"/>
      <c r="HG15"/>
      <c r="HH15"/>
      <c r="HI15"/>
      <c r="HJ15"/>
      <c r="HK15"/>
      <c r="HL15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268"/>
      <c r="JU15" s="268"/>
      <c r="JV15" s="268"/>
      <c r="JW15" s="268"/>
      <c r="JX15" s="268">
        <f>1+5</f>
        <v>6</v>
      </c>
      <c r="JY15" s="268">
        <v>0</v>
      </c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</row>
    <row r="16" spans="1:319" s="12" customFormat="1" ht="18" customHeight="1" x14ac:dyDescent="0.3">
      <c r="A16" s="14">
        <v>9</v>
      </c>
      <c r="B16" s="13" t="s">
        <v>149</v>
      </c>
      <c r="C16" s="1">
        <v>9449</v>
      </c>
      <c r="D16" s="1">
        <v>2011</v>
      </c>
      <c r="E16" t="s">
        <v>148</v>
      </c>
      <c r="F16" s="1">
        <v>2372</v>
      </c>
      <c r="G16" s="1" t="s">
        <v>434</v>
      </c>
      <c r="H16" t="s">
        <v>127</v>
      </c>
      <c r="I16" s="1">
        <f>SUM(K16:LG16)</f>
        <v>298</v>
      </c>
      <c r="J16" s="14">
        <f>Tabuľka3[[#This Row],[Stĺpec105]]+Tabuľka3[[#This Row],[Stĺpec144]]+Tabuľka3[[#This Row],[Stĺpec145]]+Tabuľka3[[#This Row],[Stĺpec411]]+Tabuľka3[[#This Row],[Stĺpec166]]+Tabuľka3[[#This Row],[Stĺpec234]]+Tabuľka3[[#This Row],[Stĺpec283]]+Tabuľka3[[#This Row],[Stĺpec276]]+Tabuľka3[[#This Row],[Stĺpec268]]+Tabuľka3[[#This Row],[Stĺpec305]]+Tabuľka3[[#This Row],[Stĺpec241]]+Tabuľka3[[#This Row],[Stĺpec242]]+Tabuľka3[[#This Row],[Stĺpec178]]+Tabuľka3[[#This Row],[Stĺpec184]]+Tabuľka3[[#This Row],[Stĺpec191]]</f>
        <v>169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>
        <v>0</v>
      </c>
      <c r="CP16" s="1">
        <v>3</v>
      </c>
      <c r="CQ16" s="1"/>
      <c r="CR16" s="1"/>
      <c r="CS16" s="1"/>
      <c r="CT16" s="1"/>
      <c r="CU16" s="1"/>
      <c r="CV16" s="1">
        <v>3</v>
      </c>
      <c r="CW16" s="1">
        <v>12</v>
      </c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/>
      <c r="DK16"/>
      <c r="DL16"/>
      <c r="DM16"/>
      <c r="DN16"/>
      <c r="DO16">
        <f>3+5</f>
        <v>8</v>
      </c>
      <c r="DP16">
        <v>5</v>
      </c>
      <c r="DQ16"/>
      <c r="DR16"/>
      <c r="DS16"/>
      <c r="DT16"/>
      <c r="DU16"/>
      <c r="DV16"/>
      <c r="DW16">
        <f>2+5</f>
        <v>7</v>
      </c>
      <c r="DX16">
        <f>4+5</f>
        <v>9</v>
      </c>
      <c r="DY16"/>
      <c r="DZ16"/>
      <c r="EA16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/>
      <c r="ES16"/>
      <c r="ET16"/>
      <c r="EU16"/>
      <c r="EV16"/>
      <c r="EW16">
        <f>4+5</f>
        <v>9</v>
      </c>
      <c r="EX16">
        <f>5+7</f>
        <v>12</v>
      </c>
      <c r="EY16"/>
      <c r="EZ16"/>
      <c r="FA16"/>
      <c r="FB16"/>
      <c r="FC16"/>
      <c r="FD16"/>
      <c r="FE16">
        <f>5+6</f>
        <v>11</v>
      </c>
      <c r="FF16">
        <v>7</v>
      </c>
      <c r="FG16"/>
      <c r="FH16"/>
      <c r="FI16"/>
      <c r="FJ16"/>
      <c r="FK16"/>
      <c r="FL16"/>
      <c r="FM16" s="266"/>
      <c r="FN16"/>
      <c r="FO16"/>
      <c r="FP16" s="266"/>
      <c r="FQ16"/>
      <c r="FR16"/>
      <c r="FS16"/>
      <c r="FT16" s="267">
        <f>4+3</f>
        <v>7</v>
      </c>
      <c r="FU16" s="267">
        <f>5+6</f>
        <v>11</v>
      </c>
      <c r="FV16"/>
      <c r="FW16"/>
      <c r="FX16"/>
      <c r="FY16"/>
      <c r="FZ16"/>
      <c r="GA16"/>
      <c r="GB16"/>
      <c r="GC16" s="267">
        <f>6+8</f>
        <v>14</v>
      </c>
      <c r="GD16"/>
      <c r="GE16" s="266"/>
      <c r="GF16"/>
      <c r="GG16"/>
      <c r="GH16"/>
      <c r="GI16"/>
      <c r="GJ16"/>
      <c r="GK16"/>
      <c r="GL16">
        <f>6+6</f>
        <v>12</v>
      </c>
      <c r="GM16">
        <v>5</v>
      </c>
      <c r="GN16"/>
      <c r="GO16"/>
      <c r="GP16"/>
      <c r="GQ16"/>
      <c r="GR16"/>
      <c r="GS16">
        <f>4+5</f>
        <v>9</v>
      </c>
      <c r="GT16">
        <f>3+6</f>
        <v>9</v>
      </c>
      <c r="GU16"/>
      <c r="GV16"/>
      <c r="GW16"/>
      <c r="GX16"/>
      <c r="GY16"/>
      <c r="GZ16"/>
      <c r="HA16">
        <f>5+7</f>
        <v>12</v>
      </c>
      <c r="HB16">
        <f>4+4</f>
        <v>8</v>
      </c>
      <c r="HC16"/>
      <c r="HD16"/>
      <c r="HE16"/>
      <c r="HF16"/>
      <c r="HG16"/>
      <c r="HH16"/>
      <c r="HI16"/>
      <c r="HJ16"/>
      <c r="HK16"/>
      <c r="HL16"/>
      <c r="HM16" s="1"/>
      <c r="HN16" s="1"/>
      <c r="HO16" s="1"/>
      <c r="HP16" s="1"/>
      <c r="HQ16" s="1"/>
      <c r="HR16" s="1"/>
      <c r="HS16" s="1"/>
      <c r="HT16" s="1"/>
      <c r="HU16" s="1">
        <v>10</v>
      </c>
      <c r="HV16" s="1"/>
      <c r="HW16" s="1">
        <v>7</v>
      </c>
      <c r="HX16" s="1">
        <v>8</v>
      </c>
      <c r="HY16" s="1"/>
      <c r="HZ16" s="1">
        <v>5</v>
      </c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>
        <v>9</v>
      </c>
      <c r="IR16" s="1">
        <v>9</v>
      </c>
      <c r="IS16" s="1"/>
      <c r="IT16" s="1"/>
      <c r="IU16" s="1"/>
      <c r="IV16" s="1">
        <v>10</v>
      </c>
      <c r="IW16" s="1"/>
      <c r="IX16" s="1">
        <v>13</v>
      </c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>
        <v>5</v>
      </c>
      <c r="JL16" s="1">
        <v>12</v>
      </c>
      <c r="JM16" s="1"/>
      <c r="JN16" s="1"/>
      <c r="JO16" s="1"/>
      <c r="JP16" s="1"/>
      <c r="JQ16" s="1">
        <v>8</v>
      </c>
      <c r="JR16" s="1">
        <v>11</v>
      </c>
      <c r="JS16" s="1"/>
      <c r="JT16" s="1"/>
      <c r="JU16" s="1"/>
      <c r="JV16" s="1"/>
      <c r="JW16" s="1"/>
      <c r="JX16" s="1">
        <v>7</v>
      </c>
      <c r="JY16" s="1">
        <v>11</v>
      </c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</row>
    <row r="17" spans="1:319" s="12" customFormat="1" ht="18" customHeight="1" x14ac:dyDescent="0.3">
      <c r="A17" s="14">
        <v>10</v>
      </c>
      <c r="B17" s="13" t="s">
        <v>121</v>
      </c>
      <c r="C17" s="1">
        <v>9871</v>
      </c>
      <c r="D17" s="1">
        <v>2012</v>
      </c>
      <c r="E17" t="s">
        <v>118</v>
      </c>
      <c r="F17" s="1">
        <v>6972</v>
      </c>
      <c r="G17" s="1" t="s">
        <v>434</v>
      </c>
      <c r="H17" t="s">
        <v>120</v>
      </c>
      <c r="I17" s="1">
        <f>SUM(K17:LG17)</f>
        <v>166.4</v>
      </c>
      <c r="J17" s="14">
        <f>I17</f>
        <v>166.4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>
        <v>17</v>
      </c>
      <c r="BR17" s="1"/>
      <c r="BS17" s="1">
        <v>7</v>
      </c>
      <c r="BT17" s="1"/>
      <c r="BU17" s="1">
        <v>16</v>
      </c>
      <c r="BV17" s="1"/>
      <c r="BW17" s="1"/>
      <c r="BX17" s="1"/>
      <c r="BY17" s="1"/>
      <c r="BZ17" s="1"/>
      <c r="CA17" s="1"/>
      <c r="CB17" s="1"/>
      <c r="CC17" s="1"/>
      <c r="CD17" s="1">
        <v>6</v>
      </c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/>
      <c r="FI17"/>
      <c r="FJ17"/>
      <c r="FK17"/>
      <c r="FL17"/>
      <c r="FM17" s="264"/>
      <c r="FN17"/>
      <c r="FO17"/>
      <c r="FP17" s="264"/>
      <c r="FQ17"/>
      <c r="FR17"/>
      <c r="FS17"/>
      <c r="FT17"/>
      <c r="FU17"/>
      <c r="FV17" s="265">
        <f>10+13</f>
        <v>23</v>
      </c>
      <c r="FW17"/>
      <c r="FX17"/>
      <c r="FY17"/>
      <c r="FZ17"/>
      <c r="GA17"/>
      <c r="GB17"/>
      <c r="GC17"/>
      <c r="GD17" s="265">
        <f>10+13</f>
        <v>23</v>
      </c>
      <c r="GE17" s="264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 s="268">
        <f>(9+11)*1.2</f>
        <v>24</v>
      </c>
      <c r="HN17" s="268">
        <f>(9+11)*1.2</f>
        <v>24</v>
      </c>
      <c r="HO17" s="268">
        <f>(9+13)*1.2</f>
        <v>26.4</v>
      </c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</row>
    <row r="18" spans="1:319" s="12" customFormat="1" ht="18" customHeight="1" x14ac:dyDescent="0.25">
      <c r="A18" s="14">
        <v>11</v>
      </c>
      <c r="B18" s="13" t="s">
        <v>141</v>
      </c>
      <c r="C18" s="1">
        <v>10805</v>
      </c>
      <c r="D18" s="1">
        <v>2011</v>
      </c>
      <c r="E18" t="s">
        <v>140</v>
      </c>
      <c r="F18" s="1">
        <v>8558</v>
      </c>
      <c r="G18" s="1" t="s">
        <v>434</v>
      </c>
      <c r="H18" t="s">
        <v>142</v>
      </c>
      <c r="I18" s="1">
        <f>SUM(K18:LG18)</f>
        <v>160.60000000000002</v>
      </c>
      <c r="J18" s="14">
        <f>I18</f>
        <v>160.60000000000002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>
        <v>19</v>
      </c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>
        <v>13.2</v>
      </c>
      <c r="CG18" s="1"/>
      <c r="CH18" s="1">
        <v>19.2</v>
      </c>
      <c r="CI18" s="1">
        <v>25.2</v>
      </c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>
        <f>(0+5)*1.2</f>
        <v>6</v>
      </c>
      <c r="DD18"/>
      <c r="DE18"/>
      <c r="DF18"/>
      <c r="DG18">
        <v>0</v>
      </c>
      <c r="DH18"/>
      <c r="DI18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>
        <f>10+13</f>
        <v>23</v>
      </c>
      <c r="EZ18" s="1"/>
      <c r="FA18" s="1"/>
      <c r="FB18" s="1"/>
      <c r="FC18" s="1"/>
      <c r="FD18" s="1"/>
      <c r="FE18" s="1"/>
      <c r="FF18" s="1"/>
      <c r="FG18" s="1"/>
      <c r="FH18"/>
      <c r="FI18"/>
      <c r="FJ18"/>
      <c r="FK18"/>
      <c r="FL18"/>
      <c r="FM18" s="264"/>
      <c r="FN18"/>
      <c r="FO18"/>
      <c r="FP18" s="264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 s="264"/>
      <c r="GF18"/>
      <c r="GG18"/>
      <c r="GH18"/>
      <c r="GI18"/>
      <c r="GJ18"/>
      <c r="GK18"/>
      <c r="GL18"/>
      <c r="GM18">
        <f>9+10</f>
        <v>19</v>
      </c>
      <c r="GN18"/>
      <c r="GO18"/>
      <c r="GP18"/>
      <c r="GQ18"/>
      <c r="GR18"/>
      <c r="GS18"/>
      <c r="GT18"/>
      <c r="GU18">
        <f>10+13</f>
        <v>23</v>
      </c>
      <c r="GV18"/>
      <c r="GW18"/>
      <c r="GX18"/>
      <c r="GY18"/>
      <c r="GZ18"/>
      <c r="HA18"/>
      <c r="HB18"/>
      <c r="HC18">
        <f>10+3</f>
        <v>13</v>
      </c>
      <c r="HD18"/>
      <c r="HE18"/>
      <c r="HF18"/>
      <c r="HG18"/>
      <c r="HH18"/>
      <c r="HI18"/>
      <c r="HJ18"/>
      <c r="HK18"/>
      <c r="HL18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</row>
    <row r="19" spans="1:319" s="12" customFormat="1" ht="18" customHeight="1" x14ac:dyDescent="0.25">
      <c r="A19" s="14">
        <v>12</v>
      </c>
      <c r="B19" s="13" t="s">
        <v>153</v>
      </c>
      <c r="C19" s="1">
        <v>10267</v>
      </c>
      <c r="D19" s="1">
        <v>2014</v>
      </c>
      <c r="E19" t="s">
        <v>152</v>
      </c>
      <c r="F19" s="1">
        <v>2366</v>
      </c>
      <c r="G19" s="1" t="s">
        <v>434</v>
      </c>
      <c r="H19" t="s">
        <v>127</v>
      </c>
      <c r="I19" s="1">
        <f>SUM(K19:LG19)</f>
        <v>186</v>
      </c>
      <c r="J19" s="14">
        <f>Tabuľka3[[#This Row],[Stĺpec114]]+Tabuľka3[[#This Row],[Stĺpec115]]+Tabuľka3[[#This Row],[Stĺpec123]]+Tabuľka3[[#This Row],[Stĺpec144]]+Tabuľka3[[#This Row],[Stĺpec285]]+Tabuľka3[[#This Row],[Stĺpec283]]+Tabuľka3[[#This Row],[Stĺpec276]]+Tabuľka3[[#This Row],[Stĺpec267]]+Tabuľka3[[#This Row],[Stĺpec305]]+Tabuľka3[[#This Row],[Stĺpec302]]+Tabuľka3[[#This Row],[Stĺpec233]]+Tabuľka3[[#This Row],[Stĺpec242]]+Tabuľka3[[#This Row],[Stĺpec178]]+Tabuľka3[[#This Row],[Stĺpec190]]+Tabuľka3[[#This Row],[Stĺpec191]]</f>
        <v>147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>
        <v>1</v>
      </c>
      <c r="CO19" s="1">
        <v>4</v>
      </c>
      <c r="CP19" s="1"/>
      <c r="CQ19" s="1"/>
      <c r="CR19" s="1"/>
      <c r="CS19" s="1"/>
      <c r="CT19" s="1"/>
      <c r="CU19" s="1"/>
      <c r="CV19" s="1">
        <v>5</v>
      </c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/>
      <c r="DK19"/>
      <c r="DL19"/>
      <c r="DM19"/>
      <c r="DN19"/>
      <c r="DO19">
        <f>2+5</f>
        <v>7</v>
      </c>
      <c r="DP19">
        <f>4+6</f>
        <v>10</v>
      </c>
      <c r="DQ19"/>
      <c r="DR19"/>
      <c r="DS19"/>
      <c r="DT19"/>
      <c r="DU19"/>
      <c r="DV19"/>
      <c r="DW19">
        <f>6+6</f>
        <v>12</v>
      </c>
      <c r="DX19"/>
      <c r="DY19"/>
      <c r="DZ19"/>
      <c r="EA19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/>
      <c r="ES19"/>
      <c r="ET19"/>
      <c r="EU19"/>
      <c r="EV19"/>
      <c r="EW19">
        <f>6+6</f>
        <v>12</v>
      </c>
      <c r="EX19">
        <v>0</v>
      </c>
      <c r="EY19"/>
      <c r="EZ19"/>
      <c r="FA19"/>
      <c r="FB19"/>
      <c r="FC19"/>
      <c r="FD19"/>
      <c r="FE19">
        <f>2+4</f>
        <v>6</v>
      </c>
      <c r="FF19"/>
      <c r="FG19"/>
      <c r="FH19"/>
      <c r="FI19"/>
      <c r="FJ19"/>
      <c r="FK19"/>
      <c r="FL19"/>
      <c r="FM19" s="266"/>
      <c r="FN19"/>
      <c r="FO19"/>
      <c r="FP19" s="266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 s="266"/>
      <c r="GF19"/>
      <c r="GG19"/>
      <c r="GH19"/>
      <c r="GI19"/>
      <c r="GJ19">
        <f>6+6</f>
        <v>12</v>
      </c>
      <c r="GK19"/>
      <c r="GL19">
        <f>4+3</f>
        <v>7</v>
      </c>
      <c r="GM19"/>
      <c r="GN19"/>
      <c r="GO19"/>
      <c r="GP19"/>
      <c r="GQ19"/>
      <c r="GR19"/>
      <c r="GS19">
        <f>3+5</f>
        <v>8</v>
      </c>
      <c r="GT19"/>
      <c r="GU19"/>
      <c r="GV19"/>
      <c r="GW19"/>
      <c r="GX19"/>
      <c r="GY19"/>
      <c r="GZ19"/>
      <c r="HA19"/>
      <c r="HB19">
        <f>7+6</f>
        <v>13</v>
      </c>
      <c r="HC19"/>
      <c r="HD19"/>
      <c r="HE19"/>
      <c r="HF19"/>
      <c r="HG19"/>
      <c r="HH19"/>
      <c r="HI19"/>
      <c r="HJ19"/>
      <c r="HK19"/>
      <c r="HL19"/>
      <c r="HM19" s="1"/>
      <c r="HN19" s="1"/>
      <c r="HO19" s="1"/>
      <c r="HP19" s="1"/>
      <c r="HQ19" s="1"/>
      <c r="HR19" s="1"/>
      <c r="HS19" s="1"/>
      <c r="HT19" s="1"/>
      <c r="HU19" s="1">
        <v>11</v>
      </c>
      <c r="HV19" s="1"/>
      <c r="HW19" s="1">
        <v>3</v>
      </c>
      <c r="HX19" s="1">
        <v>9</v>
      </c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>
        <v>0</v>
      </c>
      <c r="IQ19" s="1">
        <v>8</v>
      </c>
      <c r="IR19" s="1"/>
      <c r="IS19" s="1"/>
      <c r="IT19" s="1"/>
      <c r="IU19" s="1"/>
      <c r="IV19" s="1"/>
      <c r="IW19" s="1">
        <v>5</v>
      </c>
      <c r="IX19" s="1">
        <v>8</v>
      </c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>
        <v>6</v>
      </c>
      <c r="JL19" s="1">
        <v>8</v>
      </c>
      <c r="JM19" s="1"/>
      <c r="JN19" s="1"/>
      <c r="JO19" s="1"/>
      <c r="JP19" s="1"/>
      <c r="JQ19" s="1">
        <v>3</v>
      </c>
      <c r="JR19" s="1">
        <v>6</v>
      </c>
      <c r="JS19" s="1"/>
      <c r="JT19" s="1"/>
      <c r="JU19" s="1"/>
      <c r="JV19" s="1"/>
      <c r="JW19" s="1"/>
      <c r="JX19" s="1">
        <v>9</v>
      </c>
      <c r="JY19" s="1">
        <v>13</v>
      </c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</row>
    <row r="20" spans="1:319" s="12" customFormat="1" ht="19.5" customHeight="1" x14ac:dyDescent="0.25">
      <c r="A20" s="14">
        <v>13</v>
      </c>
      <c r="B20" s="13" t="s">
        <v>274</v>
      </c>
      <c r="C20" s="1">
        <v>11110</v>
      </c>
      <c r="D20" s="1">
        <v>2013</v>
      </c>
      <c r="E20" s="4" t="s">
        <v>273</v>
      </c>
      <c r="F20" s="1">
        <v>6735</v>
      </c>
      <c r="G20" s="11" t="s">
        <v>436</v>
      </c>
      <c r="H20" s="4" t="s">
        <v>275</v>
      </c>
      <c r="I20" s="1">
        <f>SUM(K20:LG20)</f>
        <v>127</v>
      </c>
      <c r="J20" s="14">
        <v>118</v>
      </c>
      <c r="K20" s="264"/>
      <c r="L20" s="264"/>
      <c r="M20" s="264"/>
      <c r="N20" s="264"/>
      <c r="O20" s="264"/>
      <c r="P20" s="264">
        <f>1</f>
        <v>1</v>
      </c>
      <c r="Q20" s="264">
        <f>4+2</f>
        <v>6</v>
      </c>
      <c r="R20" s="264"/>
      <c r="S20" s="264"/>
      <c r="T20" s="264"/>
      <c r="U20" s="264"/>
      <c r="V20" s="264"/>
      <c r="W20" s="264">
        <f>0+3</f>
        <v>3</v>
      </c>
      <c r="X20" s="264">
        <f>4+4</f>
        <v>8</v>
      </c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  <c r="BB20" s="264"/>
      <c r="BC20" s="264"/>
      <c r="BD20" s="264"/>
      <c r="BE20" s="264"/>
      <c r="BF20" s="264"/>
      <c r="BG20" s="264"/>
      <c r="BH20" s="264"/>
      <c r="BI20" s="264"/>
      <c r="BJ20" s="264"/>
      <c r="BK20" s="264"/>
      <c r="BL20" s="264"/>
      <c r="BM20" s="264"/>
      <c r="BN20" s="264"/>
      <c r="BO20" s="264"/>
      <c r="BP20" s="264"/>
      <c r="BQ20" s="264"/>
      <c r="BR20" s="264"/>
      <c r="BS20" s="264"/>
      <c r="BT20" s="264"/>
      <c r="BU20" s="264"/>
      <c r="BV20" s="264"/>
      <c r="BW20" s="264"/>
      <c r="BX20" s="264"/>
      <c r="BY20" s="264"/>
      <c r="BZ20" s="264"/>
      <c r="CA20" s="264"/>
      <c r="CB20" s="264"/>
      <c r="CC20" s="264"/>
      <c r="CD20" s="264"/>
      <c r="CE20" s="264"/>
      <c r="CF20" s="264"/>
      <c r="CG20" s="264"/>
      <c r="CH20" s="264"/>
      <c r="CI20" s="264"/>
      <c r="CJ20" s="264"/>
      <c r="CK20" s="264"/>
      <c r="CL20" s="264"/>
      <c r="CM20" s="264"/>
      <c r="CN20" s="264"/>
      <c r="CO20" s="264">
        <f>0+3</f>
        <v>3</v>
      </c>
      <c r="CP20" s="264">
        <f>0+5</f>
        <v>5</v>
      </c>
      <c r="CQ20" s="264"/>
      <c r="CR20" s="264"/>
      <c r="CS20" s="264"/>
      <c r="CT20" s="264"/>
      <c r="CU20" s="264"/>
      <c r="CV20" s="264"/>
      <c r="CW20" s="264">
        <v>5</v>
      </c>
      <c r="CX20" s="264"/>
      <c r="CY20" s="264"/>
      <c r="CZ20" s="264">
        <f>3+5</f>
        <v>8</v>
      </c>
      <c r="DA20" s="264"/>
      <c r="DB20" s="264"/>
      <c r="DC20" s="264"/>
      <c r="DD20" s="264"/>
      <c r="DE20" s="264"/>
      <c r="DF20" s="264"/>
      <c r="DG20" s="264"/>
      <c r="DH20" s="264"/>
      <c r="DI20" s="264"/>
      <c r="DJ20" s="264"/>
      <c r="DK20" s="264"/>
      <c r="DL20" s="264"/>
      <c r="DM20" s="264"/>
      <c r="DN20" s="264"/>
      <c r="DO20" s="264">
        <f>5+6</f>
        <v>11</v>
      </c>
      <c r="DP20" s="264">
        <f>3+6</f>
        <v>9</v>
      </c>
      <c r="DQ20" s="264"/>
      <c r="DR20" s="264"/>
      <c r="DS20" s="264"/>
      <c r="DT20" s="264"/>
      <c r="DU20" s="264"/>
      <c r="DV20" s="264"/>
      <c r="DW20" s="264">
        <f>1+4</f>
        <v>5</v>
      </c>
      <c r="DX20" s="264">
        <f>5+7</f>
        <v>12</v>
      </c>
      <c r="DY20" s="264"/>
      <c r="DZ20" s="264"/>
      <c r="EA20" s="264"/>
      <c r="EB20" s="264"/>
      <c r="EC20" s="264"/>
      <c r="ED20" s="264"/>
      <c r="EE20" s="264"/>
      <c r="EF20" s="264"/>
      <c r="EG20" s="264"/>
      <c r="EH20" s="264"/>
      <c r="EI20" s="264"/>
      <c r="EJ20" s="264"/>
      <c r="EK20" s="264"/>
      <c r="EL20" s="264"/>
      <c r="EM20" s="264"/>
      <c r="EN20" s="264"/>
      <c r="EO20" s="264"/>
      <c r="EP20" s="264"/>
      <c r="EQ20" s="264"/>
      <c r="ER20" s="264"/>
      <c r="ES20" s="264"/>
      <c r="ET20" s="264"/>
      <c r="EU20" s="264"/>
      <c r="EV20" s="264"/>
      <c r="EW20" s="264">
        <f>3+5</f>
        <v>8</v>
      </c>
      <c r="EX20" s="264">
        <f>3+7</f>
        <v>10</v>
      </c>
      <c r="EY20" s="264"/>
      <c r="EZ20" s="264"/>
      <c r="FA20" s="264"/>
      <c r="FB20" s="264"/>
      <c r="FC20" s="264"/>
      <c r="FD20" s="264"/>
      <c r="FE20" s="264">
        <f>6+6</f>
        <v>12</v>
      </c>
      <c r="FF20" s="264">
        <f>4+8</f>
        <v>12</v>
      </c>
      <c r="FG20" s="264"/>
      <c r="FH20" s="264"/>
      <c r="FI20" s="264"/>
      <c r="FJ20" s="264"/>
      <c r="FK20" s="264"/>
      <c r="FL20" s="264"/>
      <c r="FM20" s="264"/>
      <c r="FN20" s="264"/>
      <c r="FO20" s="264"/>
      <c r="FP20" s="264"/>
      <c r="FQ20" s="264"/>
      <c r="FR20" s="264"/>
      <c r="FS20" s="264"/>
      <c r="FT20" s="264"/>
      <c r="FU20" s="264"/>
      <c r="FV20" s="264"/>
      <c r="FW20" s="264"/>
      <c r="FX20" s="264"/>
      <c r="FY20" s="264"/>
      <c r="FZ20" s="264"/>
      <c r="GA20" s="264"/>
      <c r="GB20" s="264"/>
      <c r="GC20" s="264"/>
      <c r="GD20" s="264"/>
      <c r="GE20" s="264"/>
      <c r="GF20" s="268"/>
      <c r="GG20" s="268"/>
      <c r="GH20" s="268"/>
      <c r="GI20" s="268"/>
      <c r="GJ20" s="268">
        <f>1+3</f>
        <v>4</v>
      </c>
      <c r="GK20" s="268"/>
      <c r="GL20" s="268"/>
      <c r="GM20" s="268"/>
      <c r="GN20" s="268"/>
      <c r="GO20" s="268"/>
      <c r="GP20" s="268"/>
      <c r="GQ20" s="268"/>
      <c r="GR20" s="268"/>
      <c r="GS20" s="268">
        <v>2</v>
      </c>
      <c r="GT20" s="268"/>
      <c r="GU20" s="268"/>
      <c r="GV20" s="268"/>
      <c r="GW20" s="268"/>
      <c r="GX20" s="268"/>
      <c r="GY20" s="268"/>
      <c r="GZ20" s="268"/>
      <c r="HA20" s="268">
        <v>3</v>
      </c>
      <c r="HB20" s="268"/>
      <c r="HC20" s="268"/>
      <c r="HD20" s="268"/>
      <c r="HE20" s="268"/>
      <c r="HF20" s="268"/>
      <c r="HG20" s="268"/>
      <c r="HH20" s="268"/>
      <c r="HI20" s="268"/>
      <c r="HJ20" s="268"/>
      <c r="HK20" s="268"/>
      <c r="HL20" s="268"/>
      <c r="HM20" s="268"/>
      <c r="HN20" s="268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</row>
    <row r="21" spans="1:319" s="12" customFormat="1" ht="18" customHeight="1" x14ac:dyDescent="0.25">
      <c r="A21" s="14">
        <v>14</v>
      </c>
      <c r="B21" s="13" t="s">
        <v>309</v>
      </c>
      <c r="C21" s="1">
        <v>9560</v>
      </c>
      <c r="D21" s="1">
        <v>2010</v>
      </c>
      <c r="E21" t="s">
        <v>308</v>
      </c>
      <c r="F21" s="1">
        <v>6761</v>
      </c>
      <c r="G21" s="11" t="s">
        <v>432</v>
      </c>
      <c r="H21" t="s">
        <v>137</v>
      </c>
      <c r="I21" s="1">
        <f>SUM(K21:LG21)</f>
        <v>118.60000000000001</v>
      </c>
      <c r="J21" s="14">
        <f>Tabuľka3[[#This Row],[Stĺpec17]]+Tabuľka3[[#This Row],[Stĺpec24]]+Tabuľka3[[#This Row],[Stĺpec31]]+Tabuľka3[[#This Row],[Stĺpec39]]+Tabuľka3[[#This Row],[Stĺpec55]]+Tabuľka3[[#This Row],[Stĺpec89]]+Tabuľka3[[#This Row],[Stĺpec244]]+Tabuľka3[[#This Row],[Stĺpec233]]+Tabuľka3[[#This Row],[Stĺpec177]]+Tabuľka3[[#This Row],[Stĺpec182]]+Tabuľka3[[#This Row],[Stĺpec183]]+Tabuľka3[[#This Row],[Stĺpec214]]+Tabuľka3[[#This Row],[Stĺpec215]]+Tabuľka3[[#This Row],[Stĺpec221]]+Tabuľka3[[#This Row],[Stĺpec222]]</f>
        <v>117.4</v>
      </c>
      <c r="K21" s="1"/>
      <c r="L21" s="1"/>
      <c r="M21" s="1"/>
      <c r="N21" s="1"/>
      <c r="O21" s="1"/>
      <c r="P21" s="1"/>
      <c r="Q21" s="1">
        <v>12</v>
      </c>
      <c r="R21" s="1"/>
      <c r="S21" s="1"/>
      <c r="T21" s="1"/>
      <c r="U21" s="1"/>
      <c r="V21" s="1"/>
      <c r="W21" s="1"/>
      <c r="X21" s="1">
        <v>12</v>
      </c>
      <c r="Y21" s="1"/>
      <c r="Z21" s="1"/>
      <c r="AA21" s="1"/>
      <c r="AB21" s="1"/>
      <c r="AC21" s="1"/>
      <c r="AD21" s="1"/>
      <c r="AE21" s="1">
        <v>6</v>
      </c>
      <c r="AF21" s="1"/>
      <c r="AG21" s="1"/>
      <c r="AH21" s="1"/>
      <c r="AI21" s="1"/>
      <c r="AJ21" s="1"/>
      <c r="AK21" s="1"/>
      <c r="AL21" s="1"/>
      <c r="AM21" s="1">
        <v>10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>
        <v>5</v>
      </c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>
        <f>(1+0)*1.2</f>
        <v>1.2</v>
      </c>
      <c r="DB21">
        <f>(2+0)*1.2</f>
        <v>2.4</v>
      </c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268"/>
      <c r="IL21" s="268"/>
      <c r="IM21" s="268"/>
      <c r="IN21" s="268"/>
      <c r="IO21" s="268">
        <f>4+5</f>
        <v>9</v>
      </c>
      <c r="IP21" s="268"/>
      <c r="IQ21" s="268">
        <f>2+3</f>
        <v>5</v>
      </c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268"/>
      <c r="JI21" s="268"/>
      <c r="JJ21" s="268"/>
      <c r="JK21" s="268">
        <f>(0+4)*1.2</f>
        <v>4.8</v>
      </c>
      <c r="JL21" s="268"/>
      <c r="JM21" s="268"/>
      <c r="JN21" s="268"/>
      <c r="JO21" s="268"/>
      <c r="JP21" s="268">
        <f>1+3</f>
        <v>4</v>
      </c>
      <c r="JQ21" s="268">
        <f>(2+4)*1.2</f>
        <v>7.1999999999999993</v>
      </c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>
        <v>9</v>
      </c>
      <c r="KZ21" s="1">
        <v>13</v>
      </c>
      <c r="LA21" s="1"/>
      <c r="LB21" s="1"/>
      <c r="LC21" s="1"/>
      <c r="LD21" s="1"/>
      <c r="LE21" s="1"/>
      <c r="LF21" s="1">
        <v>11</v>
      </c>
      <c r="LG21" s="1">
        <v>7</v>
      </c>
    </row>
    <row r="22" spans="1:319" s="12" customFormat="1" ht="18" customHeight="1" x14ac:dyDescent="0.25">
      <c r="A22" s="14">
        <v>15</v>
      </c>
      <c r="B22" s="13" t="s">
        <v>307</v>
      </c>
      <c r="C22" s="1">
        <v>9143</v>
      </c>
      <c r="D22" s="1">
        <v>2011</v>
      </c>
      <c r="E22" t="s">
        <v>306</v>
      </c>
      <c r="F22" s="1">
        <v>8085</v>
      </c>
      <c r="G22" s="1" t="s">
        <v>432</v>
      </c>
      <c r="H22" t="s">
        <v>251</v>
      </c>
      <c r="I22" s="1">
        <f>SUM(K22:LG22)</f>
        <v>115.6</v>
      </c>
      <c r="J22" s="14">
        <f>Tabuľka3[[#This Row],[Stĺpec9]]</f>
        <v>115.6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>
        <v>11</v>
      </c>
      <c r="CO22" s="1"/>
      <c r="CP22" s="1"/>
      <c r="CQ22" s="1"/>
      <c r="CR22" s="1">
        <v>9</v>
      </c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/>
      <c r="DK22"/>
      <c r="DL22"/>
      <c r="DM22"/>
      <c r="DN22">
        <f>4+7</f>
        <v>11</v>
      </c>
      <c r="DO22"/>
      <c r="DP22"/>
      <c r="DQ22"/>
      <c r="DR22"/>
      <c r="DS22"/>
      <c r="DT22"/>
      <c r="DU22"/>
      <c r="DV22">
        <f>4+7</f>
        <v>11</v>
      </c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/>
      <c r="ES22"/>
      <c r="ET22"/>
      <c r="EU22"/>
      <c r="EV22">
        <f>4+7</f>
        <v>11</v>
      </c>
      <c r="EW22"/>
      <c r="EX22"/>
      <c r="EY22"/>
      <c r="EZ22"/>
      <c r="FA22"/>
      <c r="FB22"/>
      <c r="FC22"/>
      <c r="FD22">
        <f>4+6</f>
        <v>10</v>
      </c>
      <c r="FE22"/>
      <c r="FF22"/>
      <c r="FG22"/>
      <c r="FH22" s="268"/>
      <c r="FI22" s="268"/>
      <c r="FJ22" s="268"/>
      <c r="FK22" s="268"/>
      <c r="FL22" s="268"/>
      <c r="FM22" s="264"/>
      <c r="FN22" s="268"/>
      <c r="FO22" s="268"/>
      <c r="FP22" s="264"/>
      <c r="FQ22" s="268"/>
      <c r="FR22" s="268"/>
      <c r="FS22" s="268"/>
      <c r="FT22" s="268"/>
      <c r="FU22" s="268"/>
      <c r="FV22" s="268"/>
      <c r="FW22" s="268"/>
      <c r="FX22" s="268"/>
      <c r="FY22" s="268"/>
      <c r="FZ22" s="268"/>
      <c r="GA22" s="268"/>
      <c r="GB22" s="268"/>
      <c r="GC22" s="268"/>
      <c r="GD22" s="268"/>
      <c r="GE22" s="264"/>
      <c r="GF22" s="268"/>
      <c r="GG22" s="268"/>
      <c r="GH22" s="268"/>
      <c r="GI22" s="268">
        <f>4+7</f>
        <v>11</v>
      </c>
      <c r="GJ22" s="268"/>
      <c r="GK22" s="268"/>
      <c r="GL22" s="268"/>
      <c r="GM22" s="268"/>
      <c r="GN22" s="268"/>
      <c r="GO22" s="268"/>
      <c r="GP22" s="268"/>
      <c r="GQ22" s="268">
        <f>4+5</f>
        <v>9</v>
      </c>
      <c r="GR22" s="268"/>
      <c r="GS22" s="268"/>
      <c r="GT22" s="268"/>
      <c r="GU22" s="268"/>
      <c r="GV22" s="268"/>
      <c r="GW22" s="268"/>
      <c r="GX22" s="268"/>
      <c r="GY22" s="268"/>
      <c r="GZ22" s="268">
        <f>4+7</f>
        <v>11</v>
      </c>
      <c r="HA22" s="268"/>
      <c r="HB22" s="268"/>
      <c r="HC22" s="268"/>
      <c r="HD22" s="268"/>
      <c r="HE22" s="268"/>
      <c r="HF22" s="268"/>
      <c r="HG22" s="268"/>
      <c r="HH22" s="268"/>
      <c r="HI22" s="268"/>
      <c r="HJ22" s="268"/>
      <c r="HK22" s="268"/>
      <c r="HL22" s="268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268"/>
      <c r="JI22" s="268"/>
      <c r="JJ22" s="268">
        <f>(4+5)*1.2</f>
        <v>10.799999999999999</v>
      </c>
      <c r="JK22" s="268"/>
      <c r="JL22" s="268"/>
      <c r="JM22" s="268"/>
      <c r="JN22" s="268"/>
      <c r="JO22" s="268"/>
      <c r="JP22" s="268">
        <f>(4+5)*1.2</f>
        <v>10.799999999999999</v>
      </c>
      <c r="JQ22" s="268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</row>
    <row r="23" spans="1:319" s="12" customFormat="1" ht="18" customHeight="1" x14ac:dyDescent="0.25">
      <c r="A23" s="14">
        <v>16</v>
      </c>
      <c r="B23" s="13" t="s">
        <v>131</v>
      </c>
      <c r="C23" s="1">
        <v>11295</v>
      </c>
      <c r="D23" s="1">
        <v>2017</v>
      </c>
      <c r="E23" t="s">
        <v>129</v>
      </c>
      <c r="F23" s="1">
        <v>338</v>
      </c>
      <c r="G23" s="11" t="s">
        <v>434</v>
      </c>
      <c r="H23" s="4" t="s">
        <v>127</v>
      </c>
      <c r="I23" s="1">
        <f>SUM(K23:LG23)</f>
        <v>112.4</v>
      </c>
      <c r="J23" s="14">
        <f>Tabuľka3[[#This Row],[Stĺpec9]]</f>
        <v>112.4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>
        <f>3+8</f>
        <v>11</v>
      </c>
      <c r="DK23"/>
      <c r="DL23"/>
      <c r="DM23"/>
      <c r="DN23"/>
      <c r="DO23"/>
      <c r="DP23"/>
      <c r="DQ23"/>
      <c r="DR23">
        <f>3+8</f>
        <v>11</v>
      </c>
      <c r="DS23"/>
      <c r="DT23"/>
      <c r="DU23"/>
      <c r="DV23"/>
      <c r="DW23"/>
      <c r="DX23"/>
      <c r="DY23"/>
      <c r="DZ23"/>
      <c r="EA23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>
        <f>(3+8)*1.2</f>
        <v>13.2</v>
      </c>
      <c r="ES23"/>
      <c r="ET23"/>
      <c r="EU23"/>
      <c r="EV23"/>
      <c r="EW23"/>
      <c r="EX23"/>
      <c r="EY23"/>
      <c r="EZ23">
        <f>(3+8)*1.2</f>
        <v>13.2</v>
      </c>
      <c r="FA23"/>
      <c r="FB23"/>
      <c r="FC23"/>
      <c r="FD23"/>
      <c r="FE23"/>
      <c r="FF23"/>
      <c r="FG23"/>
      <c r="FH23"/>
      <c r="FI23"/>
      <c r="FJ23"/>
      <c r="FK23"/>
      <c r="FL23"/>
      <c r="FM23" s="266"/>
      <c r="FN23"/>
      <c r="FO23"/>
      <c r="FP23" s="266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 s="266"/>
      <c r="GF23">
        <f>3+6</f>
        <v>9</v>
      </c>
      <c r="GG23"/>
      <c r="GH23"/>
      <c r="GI23"/>
      <c r="GJ23"/>
      <c r="GK23"/>
      <c r="GL23"/>
      <c r="GM23"/>
      <c r="GN23">
        <f>3+6</f>
        <v>9</v>
      </c>
      <c r="GO23"/>
      <c r="GP23"/>
      <c r="GQ23"/>
      <c r="GR23"/>
      <c r="GS23"/>
      <c r="GT23"/>
      <c r="GU23"/>
      <c r="GV23"/>
      <c r="GW23">
        <f>3+6</f>
        <v>9</v>
      </c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>
        <v>5</v>
      </c>
      <c r="IO23" s="1"/>
      <c r="IP23" s="1"/>
      <c r="IQ23" s="1"/>
      <c r="IR23" s="1"/>
      <c r="IS23" s="1"/>
      <c r="IT23" s="1">
        <v>4</v>
      </c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268">
        <f>3+8</f>
        <v>11</v>
      </c>
      <c r="JI23" s="268">
        <f>3+4</f>
        <v>7</v>
      </c>
      <c r="JJ23" s="268"/>
      <c r="JK23" s="268"/>
      <c r="JL23" s="268"/>
      <c r="JM23" s="268"/>
      <c r="JN23" s="268">
        <f>3+7</f>
        <v>10</v>
      </c>
      <c r="JO23" s="268"/>
      <c r="JP23" s="268"/>
      <c r="JQ23" s="268"/>
      <c r="JR23" s="268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</row>
    <row r="24" spans="1:319" s="12" customFormat="1" ht="18" customHeight="1" x14ac:dyDescent="0.25">
      <c r="A24" s="14">
        <v>17</v>
      </c>
      <c r="B24" s="13" t="s">
        <v>163</v>
      </c>
      <c r="C24" s="1">
        <v>9402</v>
      </c>
      <c r="D24" s="1">
        <v>2006</v>
      </c>
      <c r="E24" t="s">
        <v>162</v>
      </c>
      <c r="F24" s="1">
        <v>867</v>
      </c>
      <c r="G24" s="1" t="s">
        <v>434</v>
      </c>
      <c r="H24" t="s">
        <v>146</v>
      </c>
      <c r="I24" s="1">
        <f>SUM(K24:LG24)</f>
        <v>111</v>
      </c>
      <c r="J24" s="14">
        <f>I24</f>
        <v>111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>
        <v>18</v>
      </c>
      <c r="BJ24" s="1">
        <v>17</v>
      </c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/>
      <c r="DK24"/>
      <c r="DL24"/>
      <c r="DM24"/>
      <c r="DN24"/>
      <c r="DO24"/>
      <c r="DP24"/>
      <c r="DQ24">
        <f>8+10</f>
        <v>18</v>
      </c>
      <c r="DR24"/>
      <c r="DS24"/>
      <c r="DT24"/>
      <c r="DU24"/>
      <c r="DV24"/>
      <c r="DW24"/>
      <c r="DX24"/>
      <c r="DY24"/>
      <c r="DZ24"/>
      <c r="EA24"/>
      <c r="EB24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>
        <v>12</v>
      </c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>
        <v>16</v>
      </c>
      <c r="EZ24" s="1"/>
      <c r="FA24" s="1"/>
      <c r="FB24" s="1"/>
      <c r="FC24" s="1"/>
      <c r="FD24" s="1"/>
      <c r="FE24" s="1"/>
      <c r="FF24" s="1"/>
      <c r="FG24" s="1"/>
      <c r="FH24"/>
      <c r="FI24"/>
      <c r="FJ24"/>
      <c r="FK24"/>
      <c r="FL24"/>
      <c r="FM24" s="266"/>
      <c r="FN24"/>
      <c r="FO24"/>
      <c r="FP24" s="266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 s="266"/>
      <c r="GF24"/>
      <c r="GG24"/>
      <c r="GH24"/>
      <c r="GI24"/>
      <c r="GJ24"/>
      <c r="GK24"/>
      <c r="GL24"/>
      <c r="GM24">
        <f>3+7</f>
        <v>10</v>
      </c>
      <c r="GN24"/>
      <c r="GO24"/>
      <c r="GP24"/>
      <c r="GQ24"/>
      <c r="GR24"/>
      <c r="GS24"/>
      <c r="GT24"/>
      <c r="GU24">
        <f>8+12</f>
        <v>20</v>
      </c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</row>
    <row r="25" spans="1:319" s="12" customFormat="1" ht="18" customHeight="1" x14ac:dyDescent="0.25">
      <c r="A25" s="14">
        <v>18</v>
      </c>
      <c r="B25" s="13" t="s">
        <v>268</v>
      </c>
      <c r="C25" s="1">
        <v>10640</v>
      </c>
      <c r="D25" s="1">
        <v>2007</v>
      </c>
      <c r="E25" t="s">
        <v>267</v>
      </c>
      <c r="F25" s="1">
        <v>5701</v>
      </c>
      <c r="G25" s="11" t="s">
        <v>436</v>
      </c>
      <c r="H25" t="s">
        <v>269</v>
      </c>
      <c r="I25" s="1">
        <f>SUM(K25:LG25)</f>
        <v>100</v>
      </c>
      <c r="J25" s="14">
        <f>I25</f>
        <v>100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>
        <v>4</v>
      </c>
      <c r="CQ25" s="1"/>
      <c r="CR25" s="1"/>
      <c r="CS25" s="1"/>
      <c r="CT25" s="1"/>
      <c r="CU25" s="1"/>
      <c r="CV25" s="1"/>
      <c r="CW25" s="1">
        <v>10</v>
      </c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/>
      <c r="DK25"/>
      <c r="DL25"/>
      <c r="DM25"/>
      <c r="DN25"/>
      <c r="DO25"/>
      <c r="DP25">
        <f>5+7</f>
        <v>12</v>
      </c>
      <c r="DQ25"/>
      <c r="DR25"/>
      <c r="DS25"/>
      <c r="DT25"/>
      <c r="DU25"/>
      <c r="DV25"/>
      <c r="DW25"/>
      <c r="DX25">
        <f>6+7</f>
        <v>13</v>
      </c>
      <c r="DY25"/>
      <c r="DZ25"/>
      <c r="EA25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/>
      <c r="ES25"/>
      <c r="ET25"/>
      <c r="EU25"/>
      <c r="EV25"/>
      <c r="EW25"/>
      <c r="EX25">
        <v>6</v>
      </c>
      <c r="EY25"/>
      <c r="EZ25"/>
      <c r="FA25"/>
      <c r="FB25"/>
      <c r="FC25"/>
      <c r="FD25"/>
      <c r="FE25"/>
      <c r="FF25">
        <f>5+8</f>
        <v>13</v>
      </c>
      <c r="FG25"/>
      <c r="FH25" s="268"/>
      <c r="FI25" s="268"/>
      <c r="FJ25" s="268"/>
      <c r="FK25" s="268"/>
      <c r="FL25" s="268"/>
      <c r="FM25" s="264"/>
      <c r="FN25" s="268"/>
      <c r="FO25" s="268"/>
      <c r="FP25" s="264"/>
      <c r="FQ25" s="268"/>
      <c r="FR25" s="268"/>
      <c r="FS25" s="268"/>
      <c r="FT25" s="268"/>
      <c r="FU25" s="268"/>
      <c r="FV25" s="268"/>
      <c r="FW25" s="268"/>
      <c r="FX25" s="268"/>
      <c r="FY25" s="268"/>
      <c r="FZ25" s="268"/>
      <c r="GA25" s="268"/>
      <c r="GB25" s="268"/>
      <c r="GC25" s="268"/>
      <c r="GD25" s="268"/>
      <c r="GE25" s="264"/>
      <c r="GF25" s="268"/>
      <c r="GG25" s="268"/>
      <c r="GH25" s="268"/>
      <c r="GI25" s="268"/>
      <c r="GJ25" s="268"/>
      <c r="GK25" s="268"/>
      <c r="GL25" s="268"/>
      <c r="GM25" s="268">
        <v>7</v>
      </c>
      <c r="GN25" s="268"/>
      <c r="GO25" s="268"/>
      <c r="GP25" s="268"/>
      <c r="GQ25" s="268"/>
      <c r="GR25" s="268"/>
      <c r="GS25" s="268"/>
      <c r="GT25" s="268">
        <f>4+6</f>
        <v>10</v>
      </c>
      <c r="GU25" s="268"/>
      <c r="GV25" s="268"/>
      <c r="GW25" s="268"/>
      <c r="GX25" s="268"/>
      <c r="GY25" s="268"/>
      <c r="GZ25" s="268"/>
      <c r="HA25" s="268"/>
      <c r="HB25" s="268">
        <f>8+9</f>
        <v>17</v>
      </c>
      <c r="HC25" s="268"/>
      <c r="HD25" s="268"/>
      <c r="HE25" s="268"/>
      <c r="HF25" s="268"/>
      <c r="HG25" s="268"/>
      <c r="HH25" s="268"/>
      <c r="HI25" s="268"/>
      <c r="HJ25" s="268"/>
      <c r="HK25" s="268"/>
      <c r="HL25" s="268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>
        <v>8</v>
      </c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</row>
    <row r="26" spans="1:319" s="12" customFormat="1" ht="19.5" customHeight="1" x14ac:dyDescent="0.25">
      <c r="A26" s="14">
        <v>19</v>
      </c>
      <c r="B26" s="13" t="s">
        <v>315</v>
      </c>
      <c r="C26" s="1">
        <v>10622</v>
      </c>
      <c r="D26" s="1">
        <v>2011</v>
      </c>
      <c r="E26" t="s">
        <v>314</v>
      </c>
      <c r="F26" s="1">
        <v>7855</v>
      </c>
      <c r="G26" s="11" t="s">
        <v>432</v>
      </c>
      <c r="H26" t="s">
        <v>146</v>
      </c>
      <c r="I26" s="1">
        <f>SUM(K26:LG26)</f>
        <v>96.600000000000009</v>
      </c>
      <c r="J26" s="14">
        <f>Tabuľka3[[#This Row],[Stĺpec9]]</f>
        <v>96.600000000000009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>
        <v>7</v>
      </c>
      <c r="CO26" s="1">
        <v>5</v>
      </c>
      <c r="CP26" s="1"/>
      <c r="CQ26" s="1"/>
      <c r="CR26" s="1"/>
      <c r="CS26" s="1"/>
      <c r="CT26" s="1"/>
      <c r="CU26" s="1"/>
      <c r="CV26" s="1">
        <v>4</v>
      </c>
      <c r="CW26" s="1"/>
      <c r="CX26" s="1"/>
      <c r="CY26" s="1"/>
      <c r="CZ26" s="1">
        <v>9</v>
      </c>
      <c r="DA26" s="1"/>
      <c r="DB26" s="1"/>
      <c r="DC26" s="1"/>
      <c r="DD26" s="1"/>
      <c r="DE26" s="1"/>
      <c r="DF26" s="1"/>
      <c r="DG26" s="1"/>
      <c r="DH26" s="1"/>
      <c r="DI26" s="1"/>
      <c r="DJ26"/>
      <c r="DK26"/>
      <c r="DL26"/>
      <c r="DM26"/>
      <c r="DN26"/>
      <c r="DO26">
        <f>6+9</f>
        <v>15</v>
      </c>
      <c r="DP26"/>
      <c r="DQ26"/>
      <c r="DR26"/>
      <c r="DS26"/>
      <c r="DT26"/>
      <c r="DU26"/>
      <c r="DV26"/>
      <c r="DW26">
        <f>3+5</f>
        <v>8</v>
      </c>
      <c r="DX26"/>
      <c r="DY26"/>
      <c r="DZ26"/>
      <c r="EA26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/>
      <c r="ES26"/>
      <c r="ET26"/>
      <c r="EU26"/>
      <c r="EV26"/>
      <c r="EW26">
        <f>1+3</f>
        <v>4</v>
      </c>
      <c r="EX26"/>
      <c r="EY26"/>
      <c r="EZ26"/>
      <c r="FA26"/>
      <c r="FB26"/>
      <c r="FC26"/>
      <c r="FD26"/>
      <c r="FE26">
        <f>1+3</f>
        <v>4</v>
      </c>
      <c r="FF26"/>
      <c r="FG26"/>
      <c r="FH26" s="268"/>
      <c r="FI26" s="268"/>
      <c r="FJ26" s="268"/>
      <c r="FK26" s="268"/>
      <c r="FL26" s="268"/>
      <c r="FM26" s="264"/>
      <c r="FN26" s="268"/>
      <c r="FO26" s="268"/>
      <c r="FP26" s="264"/>
      <c r="FQ26" s="268"/>
      <c r="FR26" s="268"/>
      <c r="FS26" s="268"/>
      <c r="FT26" s="268"/>
      <c r="FU26" s="268"/>
      <c r="FV26" s="268"/>
      <c r="FW26" s="268"/>
      <c r="FX26" s="268"/>
      <c r="FY26" s="268"/>
      <c r="FZ26" s="268"/>
      <c r="GA26" s="268"/>
      <c r="GB26" s="268"/>
      <c r="GC26" s="268"/>
      <c r="GD26" s="268"/>
      <c r="GE26" s="264"/>
      <c r="GF26" s="268"/>
      <c r="GG26" s="268"/>
      <c r="GH26" s="268"/>
      <c r="GI26" s="268"/>
      <c r="GJ26" s="268">
        <f>2+4</f>
        <v>6</v>
      </c>
      <c r="GK26" s="268"/>
      <c r="GL26" s="268"/>
      <c r="GM26" s="268"/>
      <c r="GN26" s="268"/>
      <c r="GO26" s="268"/>
      <c r="GP26" s="268"/>
      <c r="GQ26" s="268"/>
      <c r="GR26" s="268"/>
      <c r="GS26" s="268">
        <v>3</v>
      </c>
      <c r="GT26" s="268"/>
      <c r="GU26" s="268"/>
      <c r="GV26" s="268"/>
      <c r="GW26" s="268"/>
      <c r="GX26" s="268"/>
      <c r="GY26" s="268"/>
      <c r="GZ26" s="268">
        <f>3+5</f>
        <v>8</v>
      </c>
      <c r="HA26" s="268"/>
      <c r="HB26" s="268"/>
      <c r="HC26" s="268"/>
      <c r="HD26" s="268"/>
      <c r="HE26" s="268"/>
      <c r="HF26" s="268"/>
      <c r="HG26" s="268"/>
      <c r="HH26" s="268"/>
      <c r="HI26" s="268"/>
      <c r="HJ26" s="268"/>
      <c r="HK26" s="268"/>
      <c r="HL26" s="268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268"/>
      <c r="JI26" s="268"/>
      <c r="JJ26" s="268">
        <f>(3+4)*1.2</f>
        <v>8.4</v>
      </c>
      <c r="JK26" s="268">
        <f>3+5</f>
        <v>8</v>
      </c>
      <c r="JL26" s="268"/>
      <c r="JM26" s="268"/>
      <c r="JN26" s="268"/>
      <c r="JO26" s="268"/>
      <c r="JP26" s="268">
        <f>(3+3)*1.2</f>
        <v>7.1999999999999993</v>
      </c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</row>
    <row r="27" spans="1:319" s="12" customFormat="1" ht="18" customHeight="1" x14ac:dyDescent="0.25">
      <c r="A27" s="14">
        <v>20</v>
      </c>
      <c r="B27" s="13" t="s">
        <v>154</v>
      </c>
      <c r="C27" s="1">
        <v>11297</v>
      </c>
      <c r="D27" s="1">
        <v>2017</v>
      </c>
      <c r="E27" t="s">
        <v>152</v>
      </c>
      <c r="F27" s="1">
        <v>2366</v>
      </c>
      <c r="G27" s="1" t="s">
        <v>434</v>
      </c>
      <c r="H27" t="s">
        <v>127</v>
      </c>
      <c r="I27" s="1">
        <f>SUM(K27:LG27)</f>
        <v>96.8</v>
      </c>
      <c r="J27" s="14">
        <f>Tabuľka3[[#This Row],[Stĺpec112]]+Tabuľka3[[#This Row],[Stĺpec118]]+Tabuľka3[[#This Row],[Stĺpec139]]+Tabuľka3[[#This Row],[Stĺpec287]]+Tabuľka3[[#This Row],[Stĺpec281]]+Tabuľka3[[#This Row],[Stĺpec271]]+Tabuľka3[[#This Row],[Stĺpec304]]+Tabuľka3[[#This Row],[Stĺpec301]]+Tabuľka3[[#This Row],[Stĺpec245]]+Tabuľka3[[#This Row],[Stĺpec239]]+Tabuľka3[[#This Row],[Stĺpec174]]+Tabuľka3[[#This Row],[Stĺpec175]]+Tabuľka3[[#This Row],[Stĺpec180]]+Tabuľka3[[#This Row],[Stĺpec187]]+Tabuľka3[[#This Row],[Stĺpec188]]</f>
        <v>91.2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>
        <v>2</v>
      </c>
      <c r="DK27"/>
      <c r="DL27"/>
      <c r="DM27">
        <f>2+2</f>
        <v>4</v>
      </c>
      <c r="DN27"/>
      <c r="DO27"/>
      <c r="DP27"/>
      <c r="DQ27"/>
      <c r="DR27">
        <f>1+5</f>
        <v>6</v>
      </c>
      <c r="DS27"/>
      <c r="DT27"/>
      <c r="DU27"/>
      <c r="DV27"/>
      <c r="DW27"/>
      <c r="DX27"/>
      <c r="DY27"/>
      <c r="DZ27"/>
      <c r="EA27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>
        <f>(1+5)*1.2</f>
        <v>7.1999999999999993</v>
      </c>
      <c r="ES27"/>
      <c r="ET27"/>
      <c r="EU27"/>
      <c r="EV27"/>
      <c r="EW27"/>
      <c r="EX27"/>
      <c r="EY27"/>
      <c r="EZ27">
        <f>(0+3)*1.2</f>
        <v>3.5999999999999996</v>
      </c>
      <c r="FA27"/>
      <c r="FB27"/>
      <c r="FC27"/>
      <c r="FD27"/>
      <c r="FE27"/>
      <c r="FF27"/>
      <c r="FG27"/>
      <c r="FH27"/>
      <c r="FI27"/>
      <c r="FJ27"/>
      <c r="FK27"/>
      <c r="FL27"/>
      <c r="FM27" s="266"/>
      <c r="FN27"/>
      <c r="FO27"/>
      <c r="FP27" s="266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 s="266"/>
      <c r="GF27"/>
      <c r="GG27"/>
      <c r="GH27">
        <f>2+2</f>
        <v>4</v>
      </c>
      <c r="GI27"/>
      <c r="GJ27"/>
      <c r="GK27"/>
      <c r="GL27"/>
      <c r="GM27"/>
      <c r="GN27">
        <v>4</v>
      </c>
      <c r="GO27"/>
      <c r="GP27"/>
      <c r="GQ27"/>
      <c r="GR27"/>
      <c r="GS27"/>
      <c r="GT27"/>
      <c r="GU27"/>
      <c r="GV27"/>
      <c r="GW27"/>
      <c r="GX27">
        <f>1+3</f>
        <v>4</v>
      </c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 s="1"/>
      <c r="HN27" s="1"/>
      <c r="HO27" s="1"/>
      <c r="HP27" s="1"/>
      <c r="HQ27" s="1"/>
      <c r="HR27" s="1"/>
      <c r="HS27" s="1"/>
      <c r="HT27" s="1"/>
      <c r="HU27" s="1"/>
      <c r="HV27" s="1">
        <v>4</v>
      </c>
      <c r="HW27" s="1"/>
      <c r="HX27" s="1"/>
      <c r="HY27" s="1">
        <v>4</v>
      </c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>
        <v>9</v>
      </c>
      <c r="IO27" s="1"/>
      <c r="IP27" s="1"/>
      <c r="IQ27" s="1"/>
      <c r="IR27" s="1"/>
      <c r="IS27" s="1"/>
      <c r="IT27" s="1">
        <v>9</v>
      </c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>
        <v>6</v>
      </c>
      <c r="JI27" s="1">
        <v>5</v>
      </c>
      <c r="JJ27" s="1"/>
      <c r="JK27" s="1"/>
      <c r="JL27" s="1"/>
      <c r="JM27" s="1"/>
      <c r="JN27" s="1">
        <v>7</v>
      </c>
      <c r="JO27" s="1"/>
      <c r="JP27" s="1"/>
      <c r="JQ27" s="1"/>
      <c r="JR27" s="1"/>
      <c r="JS27" s="1"/>
      <c r="JT27" s="1"/>
      <c r="JU27" s="1">
        <v>7</v>
      </c>
      <c r="JV27" s="1">
        <v>11</v>
      </c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</row>
    <row r="28" spans="1:319" s="12" customFormat="1" ht="18" customHeight="1" x14ac:dyDescent="0.25">
      <c r="A28" s="14">
        <v>21</v>
      </c>
      <c r="B28" s="13" t="s">
        <v>389</v>
      </c>
      <c r="C28" s="1">
        <v>9541</v>
      </c>
      <c r="D28" s="1">
        <v>2012</v>
      </c>
      <c r="E28" t="s">
        <v>388</v>
      </c>
      <c r="F28" s="1">
        <v>7853</v>
      </c>
      <c r="G28" s="1" t="s">
        <v>437</v>
      </c>
      <c r="H28" t="s">
        <v>146</v>
      </c>
      <c r="I28" s="1">
        <f>SUM(K28:LG28)</f>
        <v>111.2</v>
      </c>
      <c r="J28" s="14">
        <f>Tabuľka3[[#This Row],[Stĺpec34]]+Tabuľka3[[#This Row],[Stĺpec42]]+Tabuľka3[[#This Row],[Stĺpec43]]+Tabuľka3[[#This Row],[Stĺpec59]]+Tabuľka3[[#This Row],[Stĺpec288]]+Tabuľka3[[#This Row],[Stĺpec279]]+Tabuľka3[[#This Row],[Stĺpec270]]+Tabuľka3[[#This Row],[Stĺpec248]]+Tabuľka3[[#This Row],[Stĺpec245]]+Tabuľka3[[#This Row],[Stĺpec244]]+Tabuľka3[[#This Row],[Stĺpec239]]+Tabuľka3[[#This Row],[Stĺpec238]]+Tabuľka3[[#This Row],[Stĺpec186]]+Tabuľka3[[#This Row],[Stĺpec193]]+Tabuľka3[[#This Row],[Stĺpec194]]</f>
        <v>88.2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>
        <v>6</v>
      </c>
      <c r="AI28" s="1">
        <v>2</v>
      </c>
      <c r="AJ28" s="1"/>
      <c r="AK28" s="1"/>
      <c r="AL28" s="1"/>
      <c r="AM28" s="1"/>
      <c r="AN28" s="1"/>
      <c r="AO28" s="1"/>
      <c r="AP28" s="1">
        <v>4</v>
      </c>
      <c r="AQ28" s="1">
        <v>3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>
        <v>3</v>
      </c>
      <c r="BF28" s="1"/>
      <c r="BG28" s="1">
        <v>4</v>
      </c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/>
      <c r="DK28"/>
      <c r="DL28"/>
      <c r="DM28">
        <v>0</v>
      </c>
      <c r="DN28">
        <v>0</v>
      </c>
      <c r="DO28"/>
      <c r="DP28"/>
      <c r="DQ28"/>
      <c r="DR28"/>
      <c r="DS28"/>
      <c r="DT28"/>
      <c r="DU28">
        <v>1</v>
      </c>
      <c r="DV28">
        <f>1+1</f>
        <v>2</v>
      </c>
      <c r="DW28" s="1"/>
      <c r="DX28" s="1"/>
      <c r="DY28" s="1"/>
      <c r="DZ28" s="1"/>
      <c r="EA28" s="1"/>
      <c r="EB28"/>
      <c r="EC28"/>
      <c r="ED28"/>
      <c r="EE28"/>
      <c r="EF28"/>
      <c r="EG28"/>
      <c r="EH28"/>
      <c r="EI28">
        <v>2</v>
      </c>
      <c r="EJ28"/>
      <c r="EK28"/>
      <c r="EL28" s="4">
        <f>0+1</f>
        <v>1</v>
      </c>
      <c r="EM28"/>
      <c r="EN28"/>
      <c r="EO28"/>
      <c r="EP28"/>
      <c r="EQ28"/>
      <c r="ER28"/>
      <c r="ES28"/>
      <c r="ET28"/>
      <c r="EU28">
        <v>1</v>
      </c>
      <c r="EV28">
        <v>0</v>
      </c>
      <c r="EW28"/>
      <c r="EX28"/>
      <c r="EY28"/>
      <c r="EZ28"/>
      <c r="FA28"/>
      <c r="FB28"/>
      <c r="FC28">
        <v>0</v>
      </c>
      <c r="FD28">
        <v>0</v>
      </c>
      <c r="FE28"/>
      <c r="FF28"/>
      <c r="FG28"/>
      <c r="FH28" s="268"/>
      <c r="FI28" s="268"/>
      <c r="FJ28" s="268"/>
      <c r="FK28" s="268"/>
      <c r="FL28" s="268"/>
      <c r="FM28" s="264"/>
      <c r="FN28" s="268"/>
      <c r="FO28" s="268"/>
      <c r="FP28" s="264"/>
      <c r="FQ28" s="268"/>
      <c r="FR28" s="268"/>
      <c r="FS28" s="268"/>
      <c r="FT28" s="268"/>
      <c r="FU28" s="268"/>
      <c r="FV28" s="268"/>
      <c r="FW28" s="268"/>
      <c r="FX28" s="268"/>
      <c r="FY28" s="268"/>
      <c r="FZ28" s="268"/>
      <c r="GA28" s="268"/>
      <c r="GB28" s="268"/>
      <c r="GC28" s="268"/>
      <c r="GD28" s="268"/>
      <c r="GE28" s="264"/>
      <c r="GF28" s="268"/>
      <c r="GG28" s="268">
        <f>3+3</f>
        <v>6</v>
      </c>
      <c r="GH28" s="268">
        <v>1</v>
      </c>
      <c r="GI28" s="268"/>
      <c r="GJ28" s="268"/>
      <c r="GK28" s="268"/>
      <c r="GL28" s="268"/>
      <c r="GM28" s="268"/>
      <c r="GN28" s="268"/>
      <c r="GO28" s="268"/>
      <c r="GP28" s="268">
        <f>(3+2)*1.2</f>
        <v>6</v>
      </c>
      <c r="GQ28" s="268"/>
      <c r="GR28" s="268"/>
      <c r="GS28" s="268"/>
      <c r="GT28" s="268"/>
      <c r="GU28" s="268"/>
      <c r="GV28" s="268">
        <v>3</v>
      </c>
      <c r="GW28" s="268"/>
      <c r="GX28" s="268">
        <v>3</v>
      </c>
      <c r="GY28" s="268">
        <f>(3+3)*1.2</f>
        <v>7.1999999999999993</v>
      </c>
      <c r="GZ28" s="268"/>
      <c r="HA28" s="268"/>
      <c r="HB28" s="268"/>
      <c r="HC28" s="268"/>
      <c r="HD28" s="268"/>
      <c r="HE28" s="268"/>
      <c r="HF28" s="268"/>
      <c r="HG28" s="268"/>
      <c r="HH28" s="268"/>
      <c r="HI28" s="268"/>
      <c r="HJ28" s="268"/>
      <c r="HK28" s="268"/>
      <c r="HL28" s="268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268">
        <f>2+6</f>
        <v>8</v>
      </c>
      <c r="IL28" s="268">
        <v>0</v>
      </c>
      <c r="IM28" s="268"/>
      <c r="IN28" s="268">
        <f>0+5</f>
        <v>5</v>
      </c>
      <c r="IO28" s="268">
        <f>3+4</f>
        <v>7</v>
      </c>
      <c r="IP28" s="268"/>
      <c r="IQ28" s="268"/>
      <c r="IR28" s="268"/>
      <c r="IS28" s="268"/>
      <c r="IT28" s="268">
        <f>1+5</f>
        <v>6</v>
      </c>
      <c r="IU28" s="268">
        <f>4+2</f>
        <v>6</v>
      </c>
      <c r="IV28" s="268"/>
      <c r="IW28" s="268"/>
      <c r="IX28" s="268"/>
      <c r="IY28" s="268"/>
      <c r="IZ28" s="1"/>
      <c r="JA28" s="1"/>
      <c r="JB28" s="1"/>
      <c r="JC28" s="1"/>
      <c r="JD28" s="1"/>
      <c r="JE28" s="1"/>
      <c r="JF28" s="1"/>
      <c r="JG28" s="1"/>
      <c r="JH28" s="1"/>
      <c r="JI28" s="1">
        <v>0</v>
      </c>
      <c r="JJ28" s="1">
        <v>1</v>
      </c>
      <c r="JK28" s="1"/>
      <c r="JL28" s="1"/>
      <c r="JM28" s="1"/>
      <c r="JN28" s="1"/>
      <c r="JO28" s="1">
        <v>0</v>
      </c>
      <c r="JP28" s="1">
        <v>0</v>
      </c>
      <c r="JQ28" s="1"/>
      <c r="JR28" s="1"/>
      <c r="JS28" s="1"/>
      <c r="JT28" s="1">
        <v>8</v>
      </c>
      <c r="JU28" s="1">
        <v>3</v>
      </c>
      <c r="JV28" s="1"/>
      <c r="JW28" s="1"/>
      <c r="JX28" s="1"/>
      <c r="JY28" s="1"/>
      <c r="JZ28" s="1"/>
      <c r="KA28" s="1"/>
      <c r="KB28" s="1"/>
      <c r="KC28" s="268"/>
      <c r="KD28" s="268">
        <f>2+6</f>
        <v>8</v>
      </c>
      <c r="KE28" s="268">
        <f>2+2</f>
        <v>4</v>
      </c>
      <c r="KF28" s="268"/>
      <c r="KG28" s="268"/>
      <c r="KH28" s="268"/>
      <c r="KI28" s="268"/>
      <c r="KJ28" s="387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</row>
    <row r="29" spans="1:319" s="12" customFormat="1" ht="18" customHeight="1" x14ac:dyDescent="0.25">
      <c r="A29" s="14"/>
      <c r="B29" s="25"/>
      <c r="C29" s="29"/>
      <c r="D29" s="29"/>
      <c r="E29" t="s">
        <v>422</v>
      </c>
      <c r="F29" s="1">
        <v>9009</v>
      </c>
      <c r="G29" s="11" t="s">
        <v>437</v>
      </c>
      <c r="H29"/>
      <c r="I29" s="1">
        <f>SUM(K29:LG29)</f>
        <v>0</v>
      </c>
      <c r="J29" s="66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254">
        <v>0</v>
      </c>
      <c r="EJ29" s="1"/>
      <c r="EK29" s="1"/>
      <c r="EL29" s="1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</row>
    <row r="30" spans="1:319" s="12" customFormat="1" ht="18.75" customHeight="1" x14ac:dyDescent="0.25">
      <c r="A30" s="14">
        <v>22</v>
      </c>
      <c r="B30" s="13" t="s">
        <v>167</v>
      </c>
      <c r="C30" s="1">
        <v>11222</v>
      </c>
      <c r="D30" s="1">
        <v>2015</v>
      </c>
      <c r="E30" s="4" t="s">
        <v>164</v>
      </c>
      <c r="F30" s="1">
        <v>5185</v>
      </c>
      <c r="G30" s="11" t="s">
        <v>434</v>
      </c>
      <c r="H30" s="4" t="s">
        <v>137</v>
      </c>
      <c r="I30" s="1">
        <f>SUM(K30:LG30)</f>
        <v>78</v>
      </c>
      <c r="J30" s="14">
        <f>I30</f>
        <v>78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>
        <v>8</v>
      </c>
      <c r="CA30" s="1">
        <v>9</v>
      </c>
      <c r="CB30" s="1"/>
      <c r="CC30" s="1"/>
      <c r="CD30" s="1"/>
      <c r="CE30" s="1"/>
      <c r="CF30" s="1"/>
      <c r="CG30" s="1"/>
      <c r="CH30" s="1"/>
      <c r="CI30" s="1"/>
      <c r="CJ30" s="1">
        <v>8</v>
      </c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/>
      <c r="EC30"/>
      <c r="ED30">
        <f>0+10</f>
        <v>10</v>
      </c>
      <c r="EE30"/>
      <c r="EF30"/>
      <c r="EG30"/>
      <c r="EH30"/>
      <c r="EI30"/>
      <c r="EJ30"/>
      <c r="EK30">
        <v>10</v>
      </c>
      <c r="EL30"/>
      <c r="EM30"/>
      <c r="EN30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>
        <v>10</v>
      </c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268"/>
      <c r="KL30" s="268"/>
      <c r="KM30" s="268">
        <f>6+8</f>
        <v>14</v>
      </c>
      <c r="KN30" s="268"/>
      <c r="KO30" s="387">
        <f>4+5</f>
        <v>9</v>
      </c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</row>
    <row r="31" spans="1:319" s="12" customFormat="1" ht="17.25" customHeight="1" x14ac:dyDescent="0.25">
      <c r="A31" s="14">
        <v>23</v>
      </c>
      <c r="B31" s="13" t="s">
        <v>171</v>
      </c>
      <c r="C31" s="1">
        <v>9454</v>
      </c>
      <c r="D31" s="1">
        <v>2009</v>
      </c>
      <c r="E31" t="s">
        <v>169</v>
      </c>
      <c r="F31" s="1">
        <v>135</v>
      </c>
      <c r="G31" s="1" t="s">
        <v>434</v>
      </c>
      <c r="H31" t="s">
        <v>127</v>
      </c>
      <c r="I31" s="1">
        <f>SUM(K31:LG31)</f>
        <v>77</v>
      </c>
      <c r="J31" s="14">
        <f>I31</f>
        <v>77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>
        <v>0</v>
      </c>
      <c r="CO31" s="1">
        <v>4</v>
      </c>
      <c r="CP31" s="1"/>
      <c r="CQ31" s="1"/>
      <c r="CR31" s="1"/>
      <c r="CS31" s="1"/>
      <c r="CT31" s="1">
        <v>7</v>
      </c>
      <c r="CU31" s="1"/>
      <c r="CV31" s="1">
        <v>11</v>
      </c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/>
      <c r="DK31"/>
      <c r="DL31"/>
      <c r="DM31"/>
      <c r="DN31"/>
      <c r="DO31">
        <f>1+4</f>
        <v>5</v>
      </c>
      <c r="DP31"/>
      <c r="DQ31"/>
      <c r="DR31"/>
      <c r="DS31"/>
      <c r="DT31"/>
      <c r="DU31"/>
      <c r="DV31"/>
      <c r="DW31">
        <f>5+5</f>
        <v>10</v>
      </c>
      <c r="DX31"/>
      <c r="DY31"/>
      <c r="DZ31"/>
      <c r="EA3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/>
      <c r="ES31"/>
      <c r="ET31"/>
      <c r="EU31"/>
      <c r="EV31"/>
      <c r="EW31">
        <f>2+4</f>
        <v>6</v>
      </c>
      <c r="EX31"/>
      <c r="EY31"/>
      <c r="EZ31"/>
      <c r="FA31"/>
      <c r="FB31"/>
      <c r="FC31"/>
      <c r="FD31"/>
      <c r="FE31">
        <f>4+4</f>
        <v>8</v>
      </c>
      <c r="FF31"/>
      <c r="FG31"/>
      <c r="FH31"/>
      <c r="FI31"/>
      <c r="FJ31"/>
      <c r="FK31"/>
      <c r="FL31"/>
      <c r="FM31" s="266"/>
      <c r="FN31"/>
      <c r="FO31"/>
      <c r="FP31" s="266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 s="266"/>
      <c r="GF31"/>
      <c r="GG31"/>
      <c r="GH31"/>
      <c r="GI31"/>
      <c r="GJ31">
        <v>2</v>
      </c>
      <c r="GK31"/>
      <c r="GL31"/>
      <c r="GM31"/>
      <c r="GN31"/>
      <c r="GO31"/>
      <c r="GP31"/>
      <c r="GQ31"/>
      <c r="GR31"/>
      <c r="GS31">
        <v>3</v>
      </c>
      <c r="GT31"/>
      <c r="GU31"/>
      <c r="GV31"/>
      <c r="GW31"/>
      <c r="GX31"/>
      <c r="GY31"/>
      <c r="GZ31"/>
      <c r="HA31">
        <f>2+5</f>
        <v>7</v>
      </c>
      <c r="HB31"/>
      <c r="HC31"/>
      <c r="HD31"/>
      <c r="HE31"/>
      <c r="HF31"/>
      <c r="HG31"/>
      <c r="HH31"/>
      <c r="HI31"/>
      <c r="HJ31"/>
      <c r="HK31"/>
      <c r="HL31"/>
      <c r="HM31" s="1"/>
      <c r="HN31" s="1"/>
      <c r="HO31" s="1"/>
      <c r="HP31" s="1"/>
      <c r="HQ31" s="1"/>
      <c r="HR31" s="1"/>
      <c r="HS31" s="1"/>
      <c r="HT31" s="1"/>
      <c r="HU31" s="1">
        <v>8</v>
      </c>
      <c r="HV31" s="1"/>
      <c r="HW31" s="1"/>
      <c r="HX31" s="1">
        <v>6</v>
      </c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</row>
    <row r="32" spans="1:319" s="12" customFormat="1" ht="18" customHeight="1" x14ac:dyDescent="0.25">
      <c r="A32" s="14">
        <v>24</v>
      </c>
      <c r="B32" s="13" t="s">
        <v>271</v>
      </c>
      <c r="C32" s="1">
        <v>11480</v>
      </c>
      <c r="D32" s="1">
        <v>2017</v>
      </c>
      <c r="E32" t="s">
        <v>267</v>
      </c>
      <c r="F32" s="1">
        <v>5701</v>
      </c>
      <c r="G32" s="11" t="s">
        <v>436</v>
      </c>
      <c r="H32" t="s">
        <v>269</v>
      </c>
      <c r="I32" s="1">
        <f>SUM(K32:LG32)</f>
        <v>74.2</v>
      </c>
      <c r="J32" s="14">
        <f>I32</f>
        <v>74.2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>
        <f>1+4</f>
        <v>5</v>
      </c>
      <c r="DK32"/>
      <c r="DL32"/>
      <c r="DM32">
        <f>1+1</f>
        <v>2</v>
      </c>
      <c r="DN32"/>
      <c r="DO32"/>
      <c r="DP32"/>
      <c r="DQ32"/>
      <c r="DR32">
        <f>2+7</f>
        <v>9</v>
      </c>
      <c r="DS32"/>
      <c r="DT32"/>
      <c r="DU32"/>
      <c r="DV32"/>
      <c r="DW32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>
        <f>(0+5)*1.2</f>
        <v>6</v>
      </c>
      <c r="ES32"/>
      <c r="ET32"/>
      <c r="EU32">
        <f>2+2</f>
        <v>4</v>
      </c>
      <c r="EV32"/>
      <c r="EW32"/>
      <c r="EX32"/>
      <c r="EY32"/>
      <c r="EZ32">
        <f>(1+5)*1.2</f>
        <v>7.1999999999999993</v>
      </c>
      <c r="FA32"/>
      <c r="FB32"/>
      <c r="FC32"/>
      <c r="FD32"/>
      <c r="FE32"/>
      <c r="FF32"/>
      <c r="FG32"/>
      <c r="FH32" s="268"/>
      <c r="FI32" s="268"/>
      <c r="FJ32" s="268"/>
      <c r="FK32" s="268"/>
      <c r="FL32" s="268"/>
      <c r="FM32" s="264"/>
      <c r="FN32" s="268"/>
      <c r="FO32" s="268"/>
      <c r="FP32" s="264"/>
      <c r="FQ32" s="268"/>
      <c r="FR32" s="268"/>
      <c r="FS32" s="268"/>
      <c r="FT32" s="268"/>
      <c r="FU32" s="268"/>
      <c r="FV32" s="268"/>
      <c r="FW32" s="268"/>
      <c r="FX32" s="268"/>
      <c r="FY32" s="268"/>
      <c r="FZ32" s="268"/>
      <c r="GA32" s="268"/>
      <c r="GB32" s="268"/>
      <c r="GC32" s="268"/>
      <c r="GD32" s="268"/>
      <c r="GE32" s="264"/>
      <c r="GF32" s="268">
        <f>3</f>
        <v>3</v>
      </c>
      <c r="GG32" s="268"/>
      <c r="GH32" s="268">
        <f>3+2</f>
        <v>5</v>
      </c>
      <c r="GI32" s="268"/>
      <c r="GJ32" s="268"/>
      <c r="GK32" s="268"/>
      <c r="GL32" s="268"/>
      <c r="GM32" s="268"/>
      <c r="GN32" s="268">
        <v>4</v>
      </c>
      <c r="GO32" s="268"/>
      <c r="GP32" s="268"/>
      <c r="GQ32" s="268"/>
      <c r="GR32" s="268"/>
      <c r="GS32" s="268"/>
      <c r="GT32" s="268"/>
      <c r="GU32" s="268"/>
      <c r="GV32" s="268"/>
      <c r="GW32" s="268">
        <f>2+5</f>
        <v>7</v>
      </c>
      <c r="GX32" s="268">
        <f>2+3</f>
        <v>5</v>
      </c>
      <c r="GY32" s="268"/>
      <c r="GZ32" s="268"/>
      <c r="HA32" s="268"/>
      <c r="HB32" s="268"/>
      <c r="HC32" s="268"/>
      <c r="HD32" s="268"/>
      <c r="HE32" s="268"/>
      <c r="HF32" s="268"/>
      <c r="HG32" s="268"/>
      <c r="HH32" s="268"/>
      <c r="HI32" s="268"/>
      <c r="HJ32" s="268"/>
      <c r="HK32" s="268"/>
      <c r="HL32" s="268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268"/>
      <c r="KD32" s="268">
        <f>3+6</f>
        <v>9</v>
      </c>
      <c r="KE32" s="268"/>
      <c r="KF32" s="268"/>
      <c r="KG32" s="268"/>
      <c r="KH32" s="268">
        <f>2+6</f>
        <v>8</v>
      </c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</row>
    <row r="33" spans="1:319" s="12" customFormat="1" ht="18" customHeight="1" x14ac:dyDescent="0.25">
      <c r="A33" s="14">
        <v>25</v>
      </c>
      <c r="B33" s="13" t="s">
        <v>159</v>
      </c>
      <c r="C33" s="1">
        <v>9051</v>
      </c>
      <c r="D33" s="1">
        <v>2010</v>
      </c>
      <c r="E33" t="s">
        <v>158</v>
      </c>
      <c r="F33" s="1">
        <v>4920</v>
      </c>
      <c r="G33" s="1" t="s">
        <v>434</v>
      </c>
      <c r="H33" t="s">
        <v>160</v>
      </c>
      <c r="I33" s="1">
        <f>SUM(K33:LG33)</f>
        <v>67</v>
      </c>
      <c r="J33" s="14">
        <f>I33</f>
        <v>67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>
        <v>15</v>
      </c>
      <c r="CQ33" s="1"/>
      <c r="CR33" s="1"/>
      <c r="CS33" s="1"/>
      <c r="CT33" s="1"/>
      <c r="CU33" s="1"/>
      <c r="CV33" s="1"/>
      <c r="CW33" s="1">
        <v>15</v>
      </c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/>
      <c r="ES33"/>
      <c r="ET33"/>
      <c r="EU33"/>
      <c r="EV33"/>
      <c r="EW33"/>
      <c r="EX33">
        <f>7+8</f>
        <v>15</v>
      </c>
      <c r="EY33"/>
      <c r="EZ33"/>
      <c r="FA33"/>
      <c r="FB33"/>
      <c r="FC33"/>
      <c r="FD33"/>
      <c r="FE33"/>
      <c r="FF33">
        <v>7</v>
      </c>
      <c r="FG33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>
        <v>15</v>
      </c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</row>
    <row r="34" spans="1:319" s="12" customFormat="1" ht="18" customHeight="1" x14ac:dyDescent="0.25">
      <c r="A34" s="14">
        <v>26</v>
      </c>
      <c r="B34" s="13" t="s">
        <v>174</v>
      </c>
      <c r="C34" s="1">
        <v>11490</v>
      </c>
      <c r="D34" s="1">
        <v>2017</v>
      </c>
      <c r="E34" t="s">
        <v>173</v>
      </c>
      <c r="F34" s="1">
        <v>1742</v>
      </c>
      <c r="G34" s="11" t="s">
        <v>434</v>
      </c>
      <c r="H34" s="4" t="s">
        <v>146</v>
      </c>
      <c r="I34" s="1">
        <f>SUM(K34:LG34)</f>
        <v>64.400000000000006</v>
      </c>
      <c r="J34" s="14">
        <f>I34</f>
        <v>64.400000000000006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>
        <f>2+7</f>
        <v>9</v>
      </c>
      <c r="DK34"/>
      <c r="DL34"/>
      <c r="DM34"/>
      <c r="DN34"/>
      <c r="DO34"/>
      <c r="DP34"/>
      <c r="DQ34"/>
      <c r="DR34">
        <v>5</v>
      </c>
      <c r="DS34"/>
      <c r="DT34"/>
      <c r="DU34"/>
      <c r="DV34"/>
      <c r="DW34"/>
      <c r="DX34"/>
      <c r="DY34"/>
      <c r="DZ34"/>
      <c r="EA34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>
        <f>(0+5)*1.2</f>
        <v>6</v>
      </c>
      <c r="ES34"/>
      <c r="ET34"/>
      <c r="EU34"/>
      <c r="EV34"/>
      <c r="EW34"/>
      <c r="EX34"/>
      <c r="EY34"/>
      <c r="EZ34">
        <f>(2+5)*1.2</f>
        <v>8.4</v>
      </c>
      <c r="FA34"/>
      <c r="FB34"/>
      <c r="FC34"/>
      <c r="FD34"/>
      <c r="FE34"/>
      <c r="FF34"/>
      <c r="FG34"/>
      <c r="FH34"/>
      <c r="FI34"/>
      <c r="FJ34"/>
      <c r="FK34"/>
      <c r="FL34"/>
      <c r="FM34" s="264"/>
      <c r="FN34"/>
      <c r="FO34"/>
      <c r="FP34" s="26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 s="264"/>
      <c r="GF34">
        <f>2+4</f>
        <v>6</v>
      </c>
      <c r="GG34"/>
      <c r="GH34"/>
      <c r="GI34"/>
      <c r="GJ34"/>
      <c r="GK34"/>
      <c r="GL34"/>
      <c r="GM34"/>
      <c r="GN34">
        <f>2+5</f>
        <v>7</v>
      </c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>
        <v>4</v>
      </c>
      <c r="JI34" s="1">
        <v>0</v>
      </c>
      <c r="JJ34" s="1"/>
      <c r="JK34" s="1"/>
      <c r="JL34" s="1"/>
      <c r="JM34" s="1"/>
      <c r="JN34" s="1">
        <v>5</v>
      </c>
      <c r="JO34" s="1"/>
      <c r="JP34" s="1"/>
      <c r="JQ34" s="1"/>
      <c r="JR34" s="1"/>
      <c r="JS34" s="1"/>
      <c r="JT34" s="1"/>
      <c r="JU34" s="1">
        <v>5</v>
      </c>
      <c r="JV34" s="1">
        <f>2+7</f>
        <v>9</v>
      </c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</row>
    <row r="35" spans="1:319" s="12" customFormat="1" ht="18" customHeight="1" x14ac:dyDescent="0.25">
      <c r="A35" s="14">
        <v>27</v>
      </c>
      <c r="B35" s="13" t="s">
        <v>270</v>
      </c>
      <c r="C35" s="1">
        <v>9965</v>
      </c>
      <c r="D35" s="1">
        <v>2008</v>
      </c>
      <c r="E35" t="s">
        <v>267</v>
      </c>
      <c r="F35" s="1">
        <v>5701</v>
      </c>
      <c r="G35" s="11" t="s">
        <v>436</v>
      </c>
      <c r="H35" t="s">
        <v>269</v>
      </c>
      <c r="I35" s="1">
        <f>SUM(K35:LG35)</f>
        <v>60</v>
      </c>
      <c r="J35" s="14">
        <f t="shared" ref="J35:J37" si="1">I35</f>
        <v>60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>
        <v>1</v>
      </c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>
        <v>5</v>
      </c>
      <c r="DA35" s="1"/>
      <c r="DB35" s="1"/>
      <c r="DC35" s="1"/>
      <c r="DD35" s="1"/>
      <c r="DE35" s="1"/>
      <c r="DF35" s="1"/>
      <c r="DG35" s="1"/>
      <c r="DH35" s="1"/>
      <c r="DI35" s="1"/>
      <c r="DJ35"/>
      <c r="DK35"/>
      <c r="DL35"/>
      <c r="DM35"/>
      <c r="DN35">
        <f>3+3</f>
        <v>6</v>
      </c>
      <c r="DO35">
        <f>4+6</f>
        <v>10</v>
      </c>
      <c r="DP35"/>
      <c r="DQ35"/>
      <c r="DR35"/>
      <c r="DS35"/>
      <c r="DT35"/>
      <c r="DU35"/>
      <c r="DV35"/>
      <c r="DW35">
        <f>4+5</f>
        <v>9</v>
      </c>
      <c r="DX35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268"/>
      <c r="FI35" s="268"/>
      <c r="FJ35" s="268"/>
      <c r="FK35" s="268"/>
      <c r="FL35" s="264">
        <v>5</v>
      </c>
      <c r="FM35" s="264">
        <v>5</v>
      </c>
      <c r="FN35" s="268"/>
      <c r="FO35" s="268"/>
      <c r="FP35" s="264"/>
      <c r="FQ35" s="268"/>
      <c r="FR35" s="268"/>
      <c r="FS35" s="268"/>
      <c r="FT35" s="268"/>
      <c r="FU35" s="268"/>
      <c r="FV35" s="268"/>
      <c r="FW35" s="268"/>
      <c r="FX35" s="268"/>
      <c r="FY35" s="268"/>
      <c r="FZ35" s="268"/>
      <c r="GA35" s="268"/>
      <c r="GB35" s="268"/>
      <c r="GC35" s="268"/>
      <c r="GD35" s="268"/>
      <c r="GE35" s="264"/>
      <c r="GF35" s="268"/>
      <c r="GG35" s="268"/>
      <c r="GH35" s="268"/>
      <c r="GI35" s="268"/>
      <c r="GJ35" s="268">
        <f>4+5</f>
        <v>9</v>
      </c>
      <c r="GK35" s="268"/>
      <c r="GL35" s="268"/>
      <c r="GM35" s="268"/>
      <c r="GN35" s="268"/>
      <c r="GO35" s="268"/>
      <c r="GP35" s="268"/>
      <c r="GQ35" s="268"/>
      <c r="GR35" s="268">
        <f>4+1</f>
        <v>5</v>
      </c>
      <c r="GS35" s="268">
        <f>1+3</f>
        <v>4</v>
      </c>
      <c r="GT35" s="268"/>
      <c r="GU35" s="268"/>
      <c r="GV35" s="268"/>
      <c r="GW35" s="268"/>
      <c r="GX35" s="268"/>
      <c r="GY35" s="268"/>
      <c r="GZ35" s="268"/>
      <c r="HA35" s="268">
        <v>1</v>
      </c>
      <c r="HB35" s="268"/>
      <c r="HC35" s="268"/>
      <c r="HD35" s="268"/>
      <c r="HE35" s="268"/>
      <c r="HF35" s="268"/>
      <c r="HG35" s="268"/>
      <c r="HH35" s="268"/>
      <c r="HI35" s="268"/>
      <c r="HJ35" s="268"/>
      <c r="HK35" s="268"/>
      <c r="HL35" s="268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</row>
    <row r="36" spans="1:319" s="12" customFormat="1" ht="18" customHeight="1" x14ac:dyDescent="0.25">
      <c r="A36" s="14"/>
      <c r="B36" s="13" t="s">
        <v>151</v>
      </c>
      <c r="C36" s="1">
        <v>11293</v>
      </c>
      <c r="D36" s="1">
        <v>2016</v>
      </c>
      <c r="E36" t="s">
        <v>148</v>
      </c>
      <c r="F36" s="1">
        <v>2372</v>
      </c>
      <c r="G36" s="11" t="s">
        <v>434</v>
      </c>
      <c r="H36" s="4" t="s">
        <v>127</v>
      </c>
      <c r="I36" s="1">
        <f>SUM(K36:LG36)</f>
        <v>60</v>
      </c>
      <c r="J36" s="14">
        <f>I36</f>
        <v>60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/>
      <c r="DK36"/>
      <c r="DL36"/>
      <c r="DM36">
        <v>0</v>
      </c>
      <c r="DN36"/>
      <c r="DO36"/>
      <c r="DP36"/>
      <c r="DQ36"/>
      <c r="DR36">
        <f>3+2</f>
        <v>5</v>
      </c>
      <c r="DS36"/>
      <c r="DT36"/>
      <c r="DU36"/>
      <c r="DV36"/>
      <c r="DW36"/>
      <c r="DX36"/>
      <c r="DY36"/>
      <c r="DZ36"/>
      <c r="EA36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/>
      <c r="ES36"/>
      <c r="ET36"/>
      <c r="EU36">
        <f>1+1</f>
        <v>2</v>
      </c>
      <c r="EV36"/>
      <c r="EW36"/>
      <c r="EX36"/>
      <c r="EY36"/>
      <c r="EZ36"/>
      <c r="FA36"/>
      <c r="FB36"/>
      <c r="FC36">
        <f>2+3</f>
        <v>5</v>
      </c>
      <c r="FD36"/>
      <c r="FE36"/>
      <c r="FF36"/>
      <c r="FG36"/>
      <c r="FH36"/>
      <c r="FI36"/>
      <c r="FJ36"/>
      <c r="FK36"/>
      <c r="FL36"/>
      <c r="FM36" s="266"/>
      <c r="FN36"/>
      <c r="FO36"/>
      <c r="FP36" s="26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 s="266"/>
      <c r="GF36"/>
      <c r="GG36"/>
      <c r="GH36">
        <f>1+2</f>
        <v>3</v>
      </c>
      <c r="GI36"/>
      <c r="GJ36"/>
      <c r="GK36"/>
      <c r="GL36"/>
      <c r="GM36"/>
      <c r="GN36"/>
      <c r="GO36">
        <f>2+2</f>
        <v>4</v>
      </c>
      <c r="GP36"/>
      <c r="GQ36"/>
      <c r="GR36"/>
      <c r="GS36"/>
      <c r="GT36"/>
      <c r="GU36"/>
      <c r="GV36"/>
      <c r="GW36"/>
      <c r="GX36">
        <v>3</v>
      </c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>
        <v>7</v>
      </c>
      <c r="IO36" s="1">
        <v>3</v>
      </c>
      <c r="IP36" s="1"/>
      <c r="IQ36" s="1"/>
      <c r="IR36" s="1"/>
      <c r="IS36" s="1"/>
      <c r="IT36" s="1">
        <v>3</v>
      </c>
      <c r="IU36" s="1">
        <v>5</v>
      </c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>
        <v>1</v>
      </c>
      <c r="JJ36" s="1">
        <v>0</v>
      </c>
      <c r="JK36" s="1"/>
      <c r="JL36" s="1"/>
      <c r="JM36" s="1"/>
      <c r="JN36" s="1"/>
      <c r="JO36" s="1">
        <v>6</v>
      </c>
      <c r="JP36" s="1">
        <v>5</v>
      </c>
      <c r="JQ36" s="1"/>
      <c r="JR36" s="1"/>
      <c r="JS36" s="1"/>
      <c r="JT36" s="1"/>
      <c r="JU36" s="1">
        <v>2</v>
      </c>
      <c r="JV36" s="1"/>
      <c r="JW36" s="1">
        <v>6</v>
      </c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</row>
    <row r="37" spans="1:319" s="12" customFormat="1" ht="18" customHeight="1" x14ac:dyDescent="0.3">
      <c r="A37" s="14">
        <v>29</v>
      </c>
      <c r="B37" s="13" t="s">
        <v>119</v>
      </c>
      <c r="C37" s="1">
        <v>10279</v>
      </c>
      <c r="D37" s="1">
        <v>2013</v>
      </c>
      <c r="E37" t="s">
        <v>118</v>
      </c>
      <c r="F37" s="1">
        <v>6972</v>
      </c>
      <c r="G37" s="1" t="s">
        <v>434</v>
      </c>
      <c r="H37" t="s">
        <v>120</v>
      </c>
      <c r="I37" s="1">
        <f>SUM(K37:LG37)</f>
        <v>57</v>
      </c>
      <c r="J37" s="14">
        <f t="shared" si="1"/>
        <v>57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>
        <v>5</v>
      </c>
      <c r="BR37" s="1"/>
      <c r="BS37" s="1">
        <v>8</v>
      </c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>
        <v>9</v>
      </c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>
        <v>12</v>
      </c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/>
      <c r="FI37"/>
      <c r="FJ37"/>
      <c r="FK37"/>
      <c r="FL37"/>
      <c r="FM37" s="264"/>
      <c r="FN37"/>
      <c r="FO37"/>
      <c r="FP37" s="264"/>
      <c r="FQ37"/>
      <c r="FR37"/>
      <c r="FS37" s="265">
        <v>8</v>
      </c>
      <c r="FT37"/>
      <c r="FU37"/>
      <c r="FV37"/>
      <c r="FW37"/>
      <c r="FX37"/>
      <c r="FY37"/>
      <c r="FZ37"/>
      <c r="GA37"/>
      <c r="GB37" s="265">
        <f>6+9</f>
        <v>15</v>
      </c>
      <c r="GC37"/>
      <c r="GD37"/>
      <c r="GE37" s="264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</row>
    <row r="38" spans="1:319" s="12" customFormat="1" ht="18" customHeight="1" x14ac:dyDescent="0.25">
      <c r="A38" s="14">
        <v>30</v>
      </c>
      <c r="B38" s="13" t="s">
        <v>179</v>
      </c>
      <c r="C38" s="1">
        <v>11516</v>
      </c>
      <c r="D38" s="1">
        <v>2015</v>
      </c>
      <c r="E38" s="4" t="s">
        <v>391</v>
      </c>
      <c r="F38" s="1">
        <v>7987</v>
      </c>
      <c r="G38" s="11" t="s">
        <v>437</v>
      </c>
      <c r="H38" s="4" t="s">
        <v>215</v>
      </c>
      <c r="I38" s="1">
        <f>SUM(K38:LG38)</f>
        <v>25</v>
      </c>
      <c r="J38" s="14">
        <f>SUM(I38:I39)</f>
        <v>53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>
        <v>2</v>
      </c>
      <c r="ES38"/>
      <c r="ET38"/>
      <c r="EU38">
        <v>0</v>
      </c>
      <c r="EV38"/>
      <c r="EW38"/>
      <c r="EX38"/>
      <c r="EY38"/>
      <c r="EZ38">
        <f>2+4</f>
        <v>6</v>
      </c>
      <c r="FA38"/>
      <c r="FB38"/>
      <c r="FC38"/>
      <c r="FD38"/>
      <c r="FE38"/>
      <c r="FF38"/>
      <c r="FG38"/>
      <c r="FH38" s="264">
        <f>3+1</f>
        <v>4</v>
      </c>
      <c r="FI38" s="264">
        <v>0</v>
      </c>
      <c r="FJ38" s="268"/>
      <c r="FK38" s="268"/>
      <c r="FL38" s="268"/>
      <c r="FM38" s="264"/>
      <c r="FN38" s="268"/>
      <c r="FO38" s="268"/>
      <c r="FP38" s="264"/>
      <c r="FQ38" s="268"/>
      <c r="FR38" s="268"/>
      <c r="FS38" s="268"/>
      <c r="FT38" s="268"/>
      <c r="FU38" s="268"/>
      <c r="FV38" s="268"/>
      <c r="FW38" s="268"/>
      <c r="FX38" s="268"/>
      <c r="FY38" s="268"/>
      <c r="FZ38" s="268"/>
      <c r="GA38" s="268"/>
      <c r="GB38" s="268"/>
      <c r="GC38" s="268"/>
      <c r="GD38" s="268"/>
      <c r="GE38" s="264"/>
      <c r="GF38" s="268"/>
      <c r="GG38" s="268">
        <f>2+2</f>
        <v>4</v>
      </c>
      <c r="GH38" s="268">
        <v>0</v>
      </c>
      <c r="GI38" s="268"/>
      <c r="GJ38" s="268"/>
      <c r="GK38" s="268"/>
      <c r="GL38" s="268"/>
      <c r="GM38" s="268"/>
      <c r="GN38" s="268">
        <v>2</v>
      </c>
      <c r="GO38" s="268"/>
      <c r="GP38" s="268">
        <v>1</v>
      </c>
      <c r="GQ38" s="268"/>
      <c r="GR38" s="268"/>
      <c r="GS38" s="268"/>
      <c r="GT38" s="268"/>
      <c r="GU38" s="268"/>
      <c r="GV38" s="268"/>
      <c r="GW38" s="268"/>
      <c r="GX38" s="268">
        <v>1</v>
      </c>
      <c r="GY38" s="268">
        <f>2+3</f>
        <v>5</v>
      </c>
      <c r="GZ38" s="268"/>
      <c r="HA38" s="268"/>
      <c r="HB38" s="268"/>
      <c r="HC38" s="268"/>
      <c r="HD38" s="268"/>
      <c r="HE38" s="268"/>
      <c r="HF38" s="268"/>
      <c r="HG38" s="268"/>
      <c r="HH38" s="268"/>
      <c r="HI38" s="268"/>
      <c r="HJ38" s="268"/>
      <c r="HK38" s="268"/>
      <c r="HL38" s="268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</row>
    <row r="39" spans="1:319" s="12" customFormat="1" ht="18" customHeight="1" x14ac:dyDescent="0.25">
      <c r="A39" s="14"/>
      <c r="B39" s="13"/>
      <c r="C39" s="1"/>
      <c r="D39" s="1"/>
      <c r="E39" s="4" t="s">
        <v>176</v>
      </c>
      <c r="F39" s="1">
        <v>2093</v>
      </c>
      <c r="G39" s="11" t="s">
        <v>434</v>
      </c>
      <c r="H39" s="4" t="s">
        <v>178</v>
      </c>
      <c r="I39" s="1">
        <f>SUM(K39:LG39)</f>
        <v>28</v>
      </c>
      <c r="J39" s="66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270"/>
      <c r="FI39" s="270"/>
      <c r="FJ39" s="274"/>
      <c r="FK39" s="274"/>
      <c r="FL39" s="274"/>
      <c r="FM39" s="270"/>
      <c r="FN39" s="274"/>
      <c r="FO39" s="274"/>
      <c r="FP39" s="270"/>
      <c r="FQ39" s="274"/>
      <c r="FR39" s="274"/>
      <c r="FS39" s="274"/>
      <c r="FT39" s="274"/>
      <c r="FU39" s="274"/>
      <c r="FV39" s="274"/>
      <c r="FW39" s="274"/>
      <c r="FX39" s="274"/>
      <c r="FY39" s="274"/>
      <c r="FZ39" s="274"/>
      <c r="GA39" s="274"/>
      <c r="GB39" s="274"/>
      <c r="GC39" s="274"/>
      <c r="GD39" s="274"/>
      <c r="GE39" s="270"/>
      <c r="GF39" s="274"/>
      <c r="GG39" s="274"/>
      <c r="GH39" s="274"/>
      <c r="GI39" s="274"/>
      <c r="GJ39" s="274"/>
      <c r="GK39" s="274"/>
      <c r="GL39" s="274"/>
      <c r="GM39" s="274"/>
      <c r="GN39" s="274"/>
      <c r="GO39" s="274"/>
      <c r="GP39" s="274"/>
      <c r="GQ39" s="274"/>
      <c r="GR39" s="274"/>
      <c r="GS39" s="274"/>
      <c r="GT39" s="274"/>
      <c r="GU39" s="274"/>
      <c r="GV39" s="274"/>
      <c r="GW39" s="274"/>
      <c r="GX39" s="274"/>
      <c r="GY39" s="274"/>
      <c r="GZ39" s="274"/>
      <c r="HA39" s="274"/>
      <c r="HB39" s="274"/>
      <c r="HC39" s="274"/>
      <c r="HD39" s="274"/>
      <c r="HE39" s="274"/>
      <c r="HF39" s="274"/>
      <c r="HG39" s="274"/>
      <c r="HH39" s="274"/>
      <c r="HI39" s="274"/>
      <c r="HJ39" s="274"/>
      <c r="HK39" s="274"/>
      <c r="HL39" s="274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268"/>
      <c r="JU39" s="268">
        <v>0</v>
      </c>
      <c r="JV39" s="268">
        <f>3+8</f>
        <v>11</v>
      </c>
      <c r="JW39" s="1"/>
      <c r="JX39" s="1"/>
      <c r="JY39" s="1"/>
      <c r="JZ39" s="1"/>
      <c r="KA39" s="1"/>
      <c r="KB39" s="1"/>
      <c r="KC39" s="268"/>
      <c r="KD39" s="268"/>
      <c r="KE39" s="268"/>
      <c r="KF39" s="268"/>
      <c r="KG39" s="268"/>
      <c r="KH39" s="268">
        <f>3+6</f>
        <v>9</v>
      </c>
      <c r="KI39" s="268">
        <f>4+4</f>
        <v>8</v>
      </c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</row>
    <row r="40" spans="1:319" ht="18" customHeight="1" x14ac:dyDescent="0.25">
      <c r="A40" s="14">
        <v>31</v>
      </c>
      <c r="B40" s="13" t="s">
        <v>317</v>
      </c>
      <c r="C40" s="1">
        <v>6813</v>
      </c>
      <c r="D40" s="1">
        <v>2004</v>
      </c>
      <c r="E40" t="s">
        <v>316</v>
      </c>
      <c r="F40" s="1">
        <v>7124</v>
      </c>
      <c r="G40" s="1" t="s">
        <v>432</v>
      </c>
      <c r="H40" t="s">
        <v>146</v>
      </c>
      <c r="I40" s="1">
        <f>SUM(K40:LG40)</f>
        <v>50.4</v>
      </c>
      <c r="J40" s="14">
        <f>I40</f>
        <v>50.4</v>
      </c>
      <c r="AN40" s="1">
        <v>3</v>
      </c>
      <c r="AO40" s="1">
        <v>7</v>
      </c>
      <c r="AR40" s="1">
        <v>5</v>
      </c>
      <c r="AS40" s="1">
        <v>4</v>
      </c>
      <c r="CN40" s="1">
        <v>1</v>
      </c>
      <c r="CO40" s="1">
        <v>2</v>
      </c>
      <c r="CZ40" s="1">
        <v>4</v>
      </c>
      <c r="FH40" s="268"/>
      <c r="FI40" s="268"/>
      <c r="FJ40" s="268"/>
      <c r="FK40" s="268"/>
      <c r="FL40" s="268"/>
      <c r="FM40" s="264"/>
      <c r="FN40" s="268"/>
      <c r="FO40" s="268"/>
      <c r="FP40" s="264"/>
      <c r="FQ40" s="268"/>
      <c r="FR40" s="268"/>
      <c r="FS40" s="268"/>
      <c r="FT40" s="268"/>
      <c r="FU40" s="268"/>
      <c r="FV40" s="268"/>
      <c r="FW40" s="268"/>
      <c r="FX40" s="268"/>
      <c r="FY40" s="268"/>
      <c r="FZ40" s="264">
        <v>5</v>
      </c>
      <c r="GA40" s="268"/>
      <c r="GB40" s="264">
        <f>4+3</f>
        <v>7</v>
      </c>
      <c r="GC40" s="268"/>
      <c r="GD40" s="268"/>
      <c r="GE40" s="264"/>
      <c r="GF40" s="268"/>
      <c r="GG40" s="268"/>
      <c r="GH40" s="268"/>
      <c r="GI40" s="268"/>
      <c r="GJ40" s="268"/>
      <c r="GK40" s="268"/>
      <c r="GL40" s="268"/>
      <c r="GM40" s="268"/>
      <c r="GN40" s="268"/>
      <c r="GO40" s="268"/>
      <c r="GP40" s="268"/>
      <c r="GQ40" s="268">
        <v>0</v>
      </c>
      <c r="GR40" s="268">
        <v>2</v>
      </c>
      <c r="GS40" s="268"/>
      <c r="GT40" s="268"/>
      <c r="GU40" s="268"/>
      <c r="GV40" s="268"/>
      <c r="GW40" s="268"/>
      <c r="GX40" s="268"/>
      <c r="GY40" s="268"/>
      <c r="GZ40" s="268"/>
      <c r="HA40" s="268">
        <v>3</v>
      </c>
      <c r="HB40" s="268"/>
      <c r="HC40" s="268"/>
      <c r="HD40" s="268"/>
      <c r="HE40" s="268"/>
      <c r="HF40" s="268"/>
      <c r="HG40" s="268"/>
      <c r="HH40" s="268"/>
      <c r="HI40" s="268"/>
      <c r="HJ40" s="268"/>
      <c r="HK40" s="268"/>
      <c r="HL40" s="268"/>
      <c r="JJ40" s="1">
        <v>0</v>
      </c>
      <c r="JP40" s="1">
        <f>2*1.2</f>
        <v>2.4</v>
      </c>
      <c r="JW40" s="1">
        <v>2</v>
      </c>
      <c r="JX40" s="1">
        <v>3</v>
      </c>
    </row>
    <row r="41" spans="1:319" s="12" customFormat="1" ht="19.5" customHeight="1" x14ac:dyDescent="0.25">
      <c r="A41" s="14">
        <v>32</v>
      </c>
      <c r="B41" s="13" t="s">
        <v>150</v>
      </c>
      <c r="C41" s="1">
        <v>10655</v>
      </c>
      <c r="D41" s="1">
        <v>2015</v>
      </c>
      <c r="E41" t="s">
        <v>148</v>
      </c>
      <c r="F41" s="1">
        <v>2372</v>
      </c>
      <c r="G41" s="1" t="s">
        <v>434</v>
      </c>
      <c r="H41" t="s">
        <v>127</v>
      </c>
      <c r="I41" s="1">
        <f>SUM(K41:LG41)</f>
        <v>48</v>
      </c>
      <c r="J41" s="14">
        <f>I41</f>
        <v>48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/>
      <c r="DK41"/>
      <c r="DL41"/>
      <c r="DM41"/>
      <c r="DN41"/>
      <c r="DO41">
        <v>3</v>
      </c>
      <c r="DP41">
        <v>0</v>
      </c>
      <c r="DQ41"/>
      <c r="DR41"/>
      <c r="DS41"/>
      <c r="DT41"/>
      <c r="DU41"/>
      <c r="DV41"/>
      <c r="DW41">
        <v>1</v>
      </c>
      <c r="DX41">
        <v>3</v>
      </c>
      <c r="DY41"/>
      <c r="DZ41"/>
      <c r="EA4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/>
      <c r="ES41"/>
      <c r="ET41"/>
      <c r="EU41"/>
      <c r="EV41"/>
      <c r="EW41">
        <v>1</v>
      </c>
      <c r="EX41">
        <v>3</v>
      </c>
      <c r="EY41"/>
      <c r="EZ41"/>
      <c r="FA41"/>
      <c r="FB41"/>
      <c r="FC41"/>
      <c r="FD41"/>
      <c r="FE41">
        <v>2</v>
      </c>
      <c r="FF41">
        <v>4</v>
      </c>
      <c r="FG41"/>
      <c r="FH41"/>
      <c r="FI41"/>
      <c r="FJ41"/>
      <c r="FK41"/>
      <c r="FL41"/>
      <c r="FM41" s="266"/>
      <c r="FN41"/>
      <c r="FO41"/>
      <c r="FP41" s="266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 s="266"/>
      <c r="GF41"/>
      <c r="GG41"/>
      <c r="GH41"/>
      <c r="GI41"/>
      <c r="GJ41"/>
      <c r="GK41"/>
      <c r="GL41">
        <f>5+4</f>
        <v>9</v>
      </c>
      <c r="GM41">
        <v>4</v>
      </c>
      <c r="GN41"/>
      <c r="GO41"/>
      <c r="GP41"/>
      <c r="GQ41"/>
      <c r="GR41"/>
      <c r="GS41">
        <f>2+5</f>
        <v>7</v>
      </c>
      <c r="GT41">
        <v>0</v>
      </c>
      <c r="GU41"/>
      <c r="GV41"/>
      <c r="GW41"/>
      <c r="GX41"/>
      <c r="GY41"/>
      <c r="GZ41"/>
      <c r="HA41">
        <f>1+4</f>
        <v>5</v>
      </c>
      <c r="HB41">
        <f>3+3</f>
        <v>6</v>
      </c>
      <c r="HC41"/>
      <c r="HD41"/>
      <c r="HE41"/>
      <c r="HF41"/>
      <c r="HG41"/>
      <c r="HH41"/>
      <c r="HI41"/>
      <c r="HJ41"/>
      <c r="HK41"/>
      <c r="HL4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</row>
    <row r="42" spans="1:319" s="12" customFormat="1" ht="18" customHeight="1" x14ac:dyDescent="0.25">
      <c r="A42" s="14"/>
      <c r="B42" s="13" t="s">
        <v>161</v>
      </c>
      <c r="C42" s="1">
        <v>11132</v>
      </c>
      <c r="D42" s="1">
        <v>2014</v>
      </c>
      <c r="E42" t="s">
        <v>158</v>
      </c>
      <c r="F42" s="1">
        <v>4920</v>
      </c>
      <c r="G42" s="1" t="s">
        <v>434</v>
      </c>
      <c r="H42" t="s">
        <v>160</v>
      </c>
      <c r="I42" s="1">
        <f>SUM(K42:LG42)</f>
        <v>48</v>
      </c>
      <c r="J42" s="14">
        <f>I42</f>
        <v>48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>
        <v>6</v>
      </c>
      <c r="CO42" s="1"/>
      <c r="CP42" s="1"/>
      <c r="CQ42" s="1"/>
      <c r="CR42" s="1"/>
      <c r="CS42" s="1"/>
      <c r="CT42" s="1">
        <v>5</v>
      </c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/>
      <c r="DK42"/>
      <c r="DL42"/>
      <c r="DM42"/>
      <c r="DN42"/>
      <c r="DO42"/>
      <c r="DP42"/>
      <c r="DQ42"/>
      <c r="DR42"/>
      <c r="DS42"/>
      <c r="DT42"/>
      <c r="DU42">
        <f>3+4</f>
        <v>7</v>
      </c>
      <c r="DV42">
        <f>3+6</f>
        <v>9</v>
      </c>
      <c r="DW42"/>
      <c r="DX42"/>
      <c r="DY42"/>
      <c r="DZ42"/>
      <c r="EA42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/>
      <c r="ES42"/>
      <c r="ET42"/>
      <c r="EU42">
        <f>3+3</f>
        <v>6</v>
      </c>
      <c r="EV42">
        <f>3+6</f>
        <v>9</v>
      </c>
      <c r="EW42"/>
      <c r="EX42"/>
      <c r="EY42"/>
      <c r="EZ42"/>
      <c r="FA42"/>
      <c r="FB42"/>
      <c r="FC42">
        <f>3+3</f>
        <v>6</v>
      </c>
      <c r="FD42"/>
      <c r="FE42"/>
      <c r="FF42"/>
      <c r="FG42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</row>
    <row r="43" spans="1:319" ht="18" customHeight="1" x14ac:dyDescent="0.25">
      <c r="A43" s="14">
        <v>34</v>
      </c>
      <c r="B43" s="13" t="s">
        <v>143</v>
      </c>
      <c r="C43" s="1">
        <v>10572</v>
      </c>
      <c r="D43" s="1">
        <v>2014</v>
      </c>
      <c r="E43" t="s">
        <v>140</v>
      </c>
      <c r="F43" s="1">
        <v>8558</v>
      </c>
      <c r="G43" s="1" t="s">
        <v>434</v>
      </c>
      <c r="H43" t="s">
        <v>142</v>
      </c>
      <c r="I43" s="1">
        <f>SUM(K43:LG43)</f>
        <v>43.6</v>
      </c>
      <c r="J43" s="14">
        <f>Tabuľka3[[#This Row],[Stĺpec9]]</f>
        <v>43.6</v>
      </c>
      <c r="BB43" s="1">
        <v>10</v>
      </c>
      <c r="ER43"/>
      <c r="ES43"/>
      <c r="ET43">
        <f>(5+9)*1.2</f>
        <v>16.8</v>
      </c>
      <c r="EU43"/>
      <c r="EV43"/>
      <c r="EW43"/>
      <c r="EX43"/>
      <c r="EY43"/>
      <c r="EZ43"/>
      <c r="FA43"/>
      <c r="FB43">
        <f>(5+9)*1.2</f>
        <v>16.8</v>
      </c>
      <c r="FC43"/>
      <c r="FD43"/>
      <c r="FE43"/>
      <c r="FF43"/>
      <c r="FG43"/>
    </row>
    <row r="44" spans="1:319" s="12" customFormat="1" ht="18" customHeight="1" x14ac:dyDescent="0.25">
      <c r="A44" s="14">
        <v>35</v>
      </c>
      <c r="B44" s="13" t="s">
        <v>438</v>
      </c>
      <c r="C44" s="1">
        <v>9897</v>
      </c>
      <c r="D44" s="1">
        <v>2004</v>
      </c>
      <c r="E44" s="4" t="s">
        <v>391</v>
      </c>
      <c r="F44" s="1">
        <v>7987</v>
      </c>
      <c r="G44" s="11" t="s">
        <v>437</v>
      </c>
      <c r="H44" s="4" t="s">
        <v>215</v>
      </c>
      <c r="I44" s="1">
        <f>SUM(K44:LG44)</f>
        <v>43.4</v>
      </c>
      <c r="J44" s="14">
        <f>I44</f>
        <v>43.4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>
        <v>0</v>
      </c>
      <c r="BA44" s="1">
        <v>0</v>
      </c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>
        <v>0</v>
      </c>
      <c r="CM44" s="1"/>
      <c r="CN44" s="1">
        <v>4</v>
      </c>
      <c r="CO44" s="1"/>
      <c r="CP44" s="1"/>
      <c r="CQ44" s="1"/>
      <c r="CR44" s="1">
        <v>0</v>
      </c>
      <c r="CS44" s="1"/>
      <c r="CT44" s="1">
        <v>0</v>
      </c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/>
      <c r="DK44"/>
      <c r="DL44"/>
      <c r="DM44">
        <v>0</v>
      </c>
      <c r="DN44">
        <f>2+3</f>
        <v>5</v>
      </c>
      <c r="DO44"/>
      <c r="DP44"/>
      <c r="DQ44"/>
      <c r="DR44"/>
      <c r="DS44"/>
      <c r="DT44"/>
      <c r="DU44">
        <v>1</v>
      </c>
      <c r="DV44">
        <f>2+3</f>
        <v>5</v>
      </c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/>
      <c r="ES44"/>
      <c r="ET44"/>
      <c r="EU44">
        <v>0</v>
      </c>
      <c r="EV44">
        <v>0</v>
      </c>
      <c r="EW44"/>
      <c r="EX44"/>
      <c r="EY44"/>
      <c r="EZ44"/>
      <c r="FA44"/>
      <c r="FB44"/>
      <c r="FC44">
        <v>1</v>
      </c>
      <c r="FD44">
        <f>2+1</f>
        <v>3</v>
      </c>
      <c r="FE44"/>
      <c r="FF44"/>
      <c r="FG44" s="1"/>
      <c r="FH44" s="268"/>
      <c r="FI44" s="268"/>
      <c r="FJ44" s="268"/>
      <c r="FK44" s="268"/>
      <c r="FL44" s="268"/>
      <c r="FM44" s="264"/>
      <c r="FN44" s="268"/>
      <c r="FO44" s="268"/>
      <c r="FP44" s="264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268"/>
      <c r="GB44" s="268"/>
      <c r="GC44" s="268"/>
      <c r="GD44" s="268"/>
      <c r="GE44" s="264"/>
      <c r="GF44" s="268"/>
      <c r="GG44" s="268"/>
      <c r="GH44" s="268">
        <v>0</v>
      </c>
      <c r="GI44" s="268">
        <v>1</v>
      </c>
      <c r="GJ44" s="268"/>
      <c r="GK44" s="268"/>
      <c r="GL44" s="268"/>
      <c r="GM44" s="268"/>
      <c r="GN44" s="268"/>
      <c r="GO44" s="268">
        <v>0</v>
      </c>
      <c r="GP44" s="268"/>
      <c r="GQ44" s="268">
        <v>3</v>
      </c>
      <c r="GR44" s="268"/>
      <c r="GS44" s="268"/>
      <c r="GT44" s="268"/>
      <c r="GU44" s="268"/>
      <c r="GV44" s="268"/>
      <c r="GW44" s="268"/>
      <c r="GX44" s="268">
        <v>2</v>
      </c>
      <c r="GY44" s="268"/>
      <c r="GZ44" s="268">
        <f>0+1</f>
        <v>1</v>
      </c>
      <c r="HA44" s="268"/>
      <c r="HB44" s="268"/>
      <c r="HC44" s="268"/>
      <c r="HD44" s="268"/>
      <c r="HE44" s="268"/>
      <c r="HF44" s="268"/>
      <c r="HG44" s="268"/>
      <c r="HH44" s="268"/>
      <c r="HI44" s="268"/>
      <c r="HJ44" s="268"/>
      <c r="HK44" s="268"/>
      <c r="HL44" s="268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268"/>
      <c r="IB44" s="268"/>
      <c r="IC44" s="268"/>
      <c r="ID44" s="268"/>
      <c r="IE44" s="268">
        <f>1+6</f>
        <v>7</v>
      </c>
      <c r="IF44" s="268"/>
      <c r="IG44" s="268">
        <f>2+6</f>
        <v>8</v>
      </c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268"/>
      <c r="JI44" s="268">
        <f>(0+2)*1.2</f>
        <v>2.4</v>
      </c>
      <c r="JJ44" s="268">
        <v>0</v>
      </c>
      <c r="JK44" s="268"/>
      <c r="JL44" s="268"/>
      <c r="JM44" s="268"/>
      <c r="JN44" s="268"/>
      <c r="JO44" s="268">
        <v>0</v>
      </c>
      <c r="JP44" s="268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268"/>
      <c r="KD44" s="268"/>
      <c r="KE44" s="268">
        <v>0</v>
      </c>
      <c r="KF44" s="268"/>
      <c r="KG44" s="268"/>
      <c r="KH44" s="268"/>
      <c r="KI44" s="268">
        <v>0</v>
      </c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</row>
    <row r="45" spans="1:319" s="12" customFormat="1" ht="18" customHeight="1" x14ac:dyDescent="0.25">
      <c r="A45" s="14">
        <v>36</v>
      </c>
      <c r="B45" s="13" t="s">
        <v>181</v>
      </c>
      <c r="C45" s="1">
        <v>10167</v>
      </c>
      <c r="D45" s="1"/>
      <c r="E45" s="273" t="s">
        <v>180</v>
      </c>
      <c r="F45" s="1">
        <v>3848</v>
      </c>
      <c r="G45" s="11" t="s">
        <v>434</v>
      </c>
      <c r="H45" t="s">
        <v>182</v>
      </c>
      <c r="I45" s="1">
        <f>SUM(K45:LG45)</f>
        <v>42</v>
      </c>
      <c r="J45" s="14">
        <f>I45</f>
        <v>42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274"/>
      <c r="FI45" s="274"/>
      <c r="FJ45" s="274"/>
      <c r="FK45" s="274"/>
      <c r="FL45" s="274"/>
      <c r="FM45" s="270"/>
      <c r="FN45" s="274"/>
      <c r="FO45" s="274"/>
      <c r="FP45" s="270"/>
      <c r="FQ45" s="274"/>
      <c r="FR45" s="274"/>
      <c r="FS45" s="274"/>
      <c r="FT45" s="274"/>
      <c r="FU45" s="274"/>
      <c r="FV45" s="274"/>
      <c r="FW45" s="274"/>
      <c r="FX45" s="274"/>
      <c r="FY45" s="274"/>
      <c r="FZ45" s="274"/>
      <c r="GA45" s="274"/>
      <c r="GB45" s="274"/>
      <c r="GC45" s="274"/>
      <c r="GD45" s="274"/>
      <c r="GE45" s="270"/>
      <c r="GF45" s="274"/>
      <c r="GG45" s="274"/>
      <c r="GH45" s="274"/>
      <c r="GI45" s="274"/>
      <c r="GJ45" s="274">
        <f>5+6</f>
        <v>11</v>
      </c>
      <c r="GK45" s="274"/>
      <c r="GL45" s="274"/>
      <c r="GM45" s="274"/>
      <c r="GN45" s="274"/>
      <c r="GO45" s="274"/>
      <c r="GP45" s="274"/>
      <c r="GQ45" s="274"/>
      <c r="GR45" s="274"/>
      <c r="GS45" s="274">
        <f>5+6</f>
        <v>11</v>
      </c>
      <c r="GT45" s="274"/>
      <c r="GU45" s="274"/>
      <c r="GV45" s="274"/>
      <c r="GW45" s="274"/>
      <c r="GX45" s="274"/>
      <c r="GY45" s="274"/>
      <c r="GZ45" s="274"/>
      <c r="HA45" s="274">
        <f>3+6</f>
        <v>9</v>
      </c>
      <c r="HB45" s="274"/>
      <c r="HC45" s="274"/>
      <c r="HD45" s="274"/>
      <c r="HE45" s="274"/>
      <c r="HF45" s="274"/>
      <c r="HG45" s="274"/>
      <c r="HH45" s="274"/>
      <c r="HI45" s="274"/>
      <c r="HJ45" s="274"/>
      <c r="HK45" s="274"/>
      <c r="HL45" s="274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JX45" s="29">
        <v>11</v>
      </c>
    </row>
    <row r="46" spans="1:319" s="12" customFormat="1" ht="18" customHeight="1" x14ac:dyDescent="0.25">
      <c r="A46" s="14"/>
      <c r="B46" s="13" t="s">
        <v>172</v>
      </c>
      <c r="C46" s="1">
        <v>11291</v>
      </c>
      <c r="D46" s="1"/>
      <c r="E46" t="s">
        <v>169</v>
      </c>
      <c r="F46" s="1">
        <v>135</v>
      </c>
      <c r="G46" s="1" t="s">
        <v>434</v>
      </c>
      <c r="H46" t="s">
        <v>127</v>
      </c>
      <c r="I46" s="1">
        <f>SUM(K46:LG46)</f>
        <v>46</v>
      </c>
      <c r="J46" s="14">
        <f>Tabuľka3[[#This Row],[Stĺpec113]]+Tabuľka3[[#This Row],[Stĺpec121]]+Tabuľka3[[#This Row],[Stĺpec142]]+Tabuľka3[[#This Row],[Stĺpec143]]+Tabuľka3[[#This Row],[Stĺpec287]]+Tabuľka3[[#This Row],[Stĺpec286]]+Tabuľka3[[#This Row],[Stĺpec271]]+Tabuľka3[[#This Row],[Stĺpec269]]+Tabuľka3[[#This Row],[Stĺpec301]]+Tabuľka3[[#This Row],[Stĺpec245]]+Tabuľka3[[#This Row],[Stĺpec244]]+Tabuľka3[[#This Row],[Stĺpec239]]+Tabuľka3[[#This Row],[Stĺpec176]]+Tabuľka3[[#This Row],[Stĺpec181]]+Tabuľka3[[#This Row],[Stĺpec189]]</f>
        <v>42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/>
      <c r="DK46"/>
      <c r="DL46"/>
      <c r="DM46">
        <v>0</v>
      </c>
      <c r="DN46">
        <v>1</v>
      </c>
      <c r="DO46"/>
      <c r="DP46"/>
      <c r="DQ46"/>
      <c r="DR46"/>
      <c r="DS46"/>
      <c r="DT46"/>
      <c r="DU46">
        <v>1</v>
      </c>
      <c r="DV46"/>
      <c r="DW46"/>
      <c r="DX46"/>
      <c r="DY46"/>
      <c r="DZ46"/>
      <c r="EA46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/>
      <c r="ES46"/>
      <c r="ET46"/>
      <c r="EU46">
        <v>1</v>
      </c>
      <c r="EV46">
        <v>1</v>
      </c>
      <c r="EW46"/>
      <c r="EX46"/>
      <c r="EY46"/>
      <c r="EZ46"/>
      <c r="FA46"/>
      <c r="FB46"/>
      <c r="FC46">
        <v>0</v>
      </c>
      <c r="FD46"/>
      <c r="FE46"/>
      <c r="FF46"/>
      <c r="FG46"/>
      <c r="FH46"/>
      <c r="FI46"/>
      <c r="FJ46"/>
      <c r="FK46"/>
      <c r="FL46"/>
      <c r="FM46" s="266"/>
      <c r="FN46"/>
      <c r="FO46"/>
      <c r="FP46" s="26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 s="266"/>
      <c r="GF46"/>
      <c r="GG46"/>
      <c r="GH46">
        <v>1</v>
      </c>
      <c r="GI46">
        <f>3+3</f>
        <v>6</v>
      </c>
      <c r="GJ46"/>
      <c r="GK46"/>
      <c r="GL46"/>
      <c r="GM46"/>
      <c r="GN46"/>
      <c r="GO46">
        <v>1</v>
      </c>
      <c r="GP46"/>
      <c r="GQ46"/>
      <c r="GR46"/>
      <c r="GS46"/>
      <c r="GT46"/>
      <c r="GU46"/>
      <c r="GV46"/>
      <c r="GW46"/>
      <c r="GX46">
        <v>2</v>
      </c>
      <c r="GY46"/>
      <c r="GZ46">
        <f>2+2</f>
        <v>4</v>
      </c>
      <c r="HA46"/>
      <c r="HB46"/>
      <c r="HC46"/>
      <c r="HD46"/>
      <c r="HE46"/>
      <c r="HF46"/>
      <c r="HG46"/>
      <c r="HH46"/>
      <c r="HI46"/>
      <c r="HJ46"/>
      <c r="HK46"/>
      <c r="HL46"/>
      <c r="HM46" s="1"/>
      <c r="HN46" s="1"/>
      <c r="HO46" s="1"/>
      <c r="HP46" s="1"/>
      <c r="HQ46" s="1"/>
      <c r="HR46" s="1"/>
      <c r="HS46" s="1"/>
      <c r="HT46" s="1"/>
      <c r="HU46" s="1"/>
      <c r="HV46" s="1">
        <v>1</v>
      </c>
      <c r="HW46" s="1"/>
      <c r="HX46" s="1"/>
      <c r="HY46" s="1">
        <v>2</v>
      </c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>
        <v>4</v>
      </c>
      <c r="IO46" s="1">
        <v>5</v>
      </c>
      <c r="IP46" s="1"/>
      <c r="IQ46" s="1"/>
      <c r="IR46" s="1"/>
      <c r="IS46" s="1"/>
      <c r="IT46" s="1">
        <v>5</v>
      </c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>
        <v>1</v>
      </c>
      <c r="JJ46" s="1">
        <v>3</v>
      </c>
      <c r="JK46" s="1"/>
      <c r="JL46" s="1"/>
      <c r="JM46" s="1"/>
      <c r="JN46" s="1"/>
      <c r="JO46" s="1">
        <v>4</v>
      </c>
      <c r="JP46" s="1"/>
      <c r="JQ46" s="1"/>
      <c r="JR46" s="1"/>
      <c r="JS46" s="1"/>
      <c r="JT46" s="1"/>
      <c r="JU46" s="1">
        <v>1</v>
      </c>
      <c r="JV46" s="1"/>
      <c r="JW46" s="1">
        <v>2</v>
      </c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</row>
    <row r="47" spans="1:319" s="12" customFormat="1" ht="18.75" customHeight="1" x14ac:dyDescent="0.25">
      <c r="A47" s="14">
        <v>38</v>
      </c>
      <c r="B47" s="13" t="s">
        <v>168</v>
      </c>
      <c r="C47" s="1">
        <v>11463</v>
      </c>
      <c r="D47" s="1">
        <v>2015</v>
      </c>
      <c r="E47" s="4" t="s">
        <v>164</v>
      </c>
      <c r="F47" s="1">
        <v>5185</v>
      </c>
      <c r="G47" s="11" t="s">
        <v>434</v>
      </c>
      <c r="H47" s="4" t="s">
        <v>137</v>
      </c>
      <c r="I47" s="1">
        <f>SUM(K47:LG47)</f>
        <v>40</v>
      </c>
      <c r="J47" s="14">
        <f t="shared" ref="J47:J52" si="2">I47</f>
        <v>40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/>
      <c r="EC47"/>
      <c r="ED47">
        <v>10</v>
      </c>
      <c r="EE47"/>
      <c r="EF47"/>
      <c r="EG47"/>
      <c r="EH47"/>
      <c r="EI47"/>
      <c r="EJ47"/>
      <c r="EK47">
        <v>10</v>
      </c>
      <c r="EL47"/>
      <c r="EM47"/>
      <c r="EN47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>
        <v>10</v>
      </c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>
        <v>10</v>
      </c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</row>
    <row r="48" spans="1:319" s="12" customFormat="1" ht="18" customHeight="1" x14ac:dyDescent="0.3">
      <c r="A48" s="14">
        <v>39</v>
      </c>
      <c r="B48" s="13" t="s">
        <v>177</v>
      </c>
      <c r="C48" s="1">
        <v>11114</v>
      </c>
      <c r="D48" s="1">
        <v>2015</v>
      </c>
      <c r="E48" t="s">
        <v>176</v>
      </c>
      <c r="F48" s="1">
        <v>2093</v>
      </c>
      <c r="G48" s="1" t="s">
        <v>434</v>
      </c>
      <c r="H48" t="s">
        <v>178</v>
      </c>
      <c r="I48" s="1">
        <f>SUM(K48:LG48)</f>
        <v>38.6</v>
      </c>
      <c r="J48" s="14">
        <f t="shared" si="2"/>
        <v>38.6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>
        <v>0</v>
      </c>
      <c r="BA48" s="1">
        <v>3</v>
      </c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/>
      <c r="DK48">
        <v>7</v>
      </c>
      <c r="DL48"/>
      <c r="DM48"/>
      <c r="DN48">
        <v>1</v>
      </c>
      <c r="DO48"/>
      <c r="DP48"/>
      <c r="DQ48"/>
      <c r="DR48"/>
      <c r="DS48">
        <v>6</v>
      </c>
      <c r="DT48"/>
      <c r="DU48">
        <v>0</v>
      </c>
      <c r="DV48"/>
      <c r="DW48"/>
      <c r="DX48"/>
      <c r="DY48"/>
      <c r="DZ48"/>
      <c r="EA48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/>
      <c r="ES48">
        <f>(0+4)*1.2</f>
        <v>4.8</v>
      </c>
      <c r="ET48"/>
      <c r="EU48"/>
      <c r="EV48">
        <v>0</v>
      </c>
      <c r="EW48"/>
      <c r="EX48"/>
      <c r="EY48"/>
      <c r="EZ48"/>
      <c r="FA48">
        <f>(0+4)*1.2</f>
        <v>4.8</v>
      </c>
      <c r="FB48"/>
      <c r="FC48">
        <v>0</v>
      </c>
      <c r="FD48"/>
      <c r="FE48"/>
      <c r="FF48"/>
      <c r="FG48"/>
      <c r="FH48"/>
      <c r="FI48" s="265">
        <f t="shared" ref="FI48:FJ48" si="3">3+2</f>
        <v>5</v>
      </c>
      <c r="FJ48" s="265">
        <f t="shared" si="3"/>
        <v>5</v>
      </c>
      <c r="FK48"/>
      <c r="FL48"/>
      <c r="FM48" s="264"/>
      <c r="FN48"/>
      <c r="FO48"/>
      <c r="FP48" s="264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 s="264"/>
      <c r="GF48"/>
      <c r="GG48"/>
      <c r="GH48">
        <v>0</v>
      </c>
      <c r="GI48">
        <v>0</v>
      </c>
      <c r="GJ48"/>
      <c r="GK48"/>
      <c r="GL48"/>
      <c r="GM48"/>
      <c r="GN48"/>
      <c r="GO48"/>
      <c r="GP48"/>
      <c r="GQ48">
        <v>2</v>
      </c>
      <c r="GR48"/>
      <c r="GS48"/>
      <c r="GT48"/>
      <c r="GU48"/>
      <c r="GV48"/>
      <c r="GW48"/>
      <c r="GX48"/>
      <c r="GY48"/>
      <c r="GZ48">
        <v>0</v>
      </c>
      <c r="HA48"/>
      <c r="HB48"/>
      <c r="HC48"/>
      <c r="HD48"/>
      <c r="HE48"/>
      <c r="HF48"/>
      <c r="HG48"/>
      <c r="HH48"/>
      <c r="HI48"/>
      <c r="HJ48"/>
      <c r="HK48"/>
      <c r="HL48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</row>
    <row r="49" spans="1:319" s="12" customFormat="1" ht="18" customHeight="1" x14ac:dyDescent="0.25">
      <c r="A49" s="14"/>
      <c r="B49" s="13" t="s">
        <v>132</v>
      </c>
      <c r="C49" s="1">
        <v>11296</v>
      </c>
      <c r="D49" s="1">
        <v>2017</v>
      </c>
      <c r="E49" t="s">
        <v>129</v>
      </c>
      <c r="F49" s="1">
        <v>338</v>
      </c>
      <c r="G49" s="11" t="s">
        <v>434</v>
      </c>
      <c r="H49" s="4" t="s">
        <v>127</v>
      </c>
      <c r="I49" s="1">
        <f>SUM(K49:LG49)</f>
        <v>38.599999999999994</v>
      </c>
      <c r="J49" s="14">
        <f t="shared" si="2"/>
        <v>38.599999999999994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>
        <v>4</v>
      </c>
      <c r="DK49"/>
      <c r="DL49"/>
      <c r="DM49"/>
      <c r="DN49"/>
      <c r="DO49"/>
      <c r="DP49"/>
      <c r="DQ49"/>
      <c r="DR49">
        <v>4</v>
      </c>
      <c r="DS49"/>
      <c r="DT49"/>
      <c r="DU49"/>
      <c r="DV49"/>
      <c r="DW49"/>
      <c r="DX49"/>
      <c r="DY49"/>
      <c r="DZ49"/>
      <c r="EA49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>
        <f>(2+7)*1.2</f>
        <v>10.799999999999999</v>
      </c>
      <c r="ES49"/>
      <c r="ET49"/>
      <c r="EU49"/>
      <c r="EV49"/>
      <c r="EW49"/>
      <c r="EX49"/>
      <c r="EY49"/>
      <c r="EZ49">
        <f>(0+4)*1.2</f>
        <v>4.8</v>
      </c>
      <c r="FA49"/>
      <c r="FB49"/>
      <c r="FC49"/>
      <c r="FD49"/>
      <c r="FE49"/>
      <c r="FF49"/>
      <c r="FG49"/>
      <c r="FH49"/>
      <c r="FI49"/>
      <c r="FJ49"/>
      <c r="FK49"/>
      <c r="FL49"/>
      <c r="FM49" s="266"/>
      <c r="FN49"/>
      <c r="FO49"/>
      <c r="FP49" s="266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 s="266"/>
      <c r="GF49">
        <f>1+4</f>
        <v>5</v>
      </c>
      <c r="GG49"/>
      <c r="GH49"/>
      <c r="GI49"/>
      <c r="GJ49"/>
      <c r="GK49"/>
      <c r="GL49"/>
      <c r="GM49"/>
      <c r="GN49">
        <f>1+4</f>
        <v>5</v>
      </c>
      <c r="GO49"/>
      <c r="GP49"/>
      <c r="GQ49"/>
      <c r="GR49"/>
      <c r="GS49"/>
      <c r="GT49"/>
      <c r="GU49"/>
      <c r="GV49"/>
      <c r="GW49">
        <f>1+4</f>
        <v>5</v>
      </c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</row>
    <row r="50" spans="1:319" s="12" customFormat="1" ht="18" customHeight="1" x14ac:dyDescent="0.3">
      <c r="A50" s="14">
        <v>41</v>
      </c>
      <c r="B50" s="13" t="s">
        <v>189</v>
      </c>
      <c r="C50" s="1">
        <v>10639</v>
      </c>
      <c r="D50" s="1">
        <v>2015</v>
      </c>
      <c r="E50" t="s">
        <v>187</v>
      </c>
      <c r="F50" s="1">
        <v>4112</v>
      </c>
      <c r="G50" s="11" t="s">
        <v>434</v>
      </c>
      <c r="H50" s="4" t="s">
        <v>178</v>
      </c>
      <c r="I50" s="1">
        <f>SUM(K50:LG50)</f>
        <v>38</v>
      </c>
      <c r="J50" s="14">
        <f>I50</f>
        <v>38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265">
        <v>1</v>
      </c>
      <c r="FI50" s="265">
        <v>1</v>
      </c>
      <c r="FJ50"/>
      <c r="FK50"/>
      <c r="FL50"/>
      <c r="FM50" s="264"/>
      <c r="FN50"/>
      <c r="FO50"/>
      <c r="FP50" s="264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 s="264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>
        <f>4+1</f>
        <v>5</v>
      </c>
      <c r="HK50">
        <f>5+2</f>
        <v>7</v>
      </c>
      <c r="HL50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>
        <v>1</v>
      </c>
      <c r="KF50" s="1"/>
      <c r="KG50" s="1"/>
      <c r="KH50" s="1"/>
      <c r="KI50" s="1">
        <v>1</v>
      </c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>
        <v>1</v>
      </c>
      <c r="KX50" s="1">
        <v>7</v>
      </c>
      <c r="KY50" s="1"/>
      <c r="KZ50" s="1"/>
      <c r="LA50" s="1"/>
      <c r="LB50" s="1"/>
      <c r="LC50" s="1"/>
      <c r="LD50" s="1">
        <v>9</v>
      </c>
      <c r="LE50" s="1"/>
      <c r="LF50" s="1">
        <v>5</v>
      </c>
      <c r="LG50" s="1"/>
    </row>
    <row r="51" spans="1:319" s="12" customFormat="1" ht="18" customHeight="1" x14ac:dyDescent="0.25">
      <c r="A51" s="14">
        <v>42</v>
      </c>
      <c r="B51" s="13" t="s">
        <v>310</v>
      </c>
      <c r="C51" s="1">
        <v>7458</v>
      </c>
      <c r="D51" s="1"/>
      <c r="E51" t="s">
        <v>308</v>
      </c>
      <c r="F51" s="1">
        <v>6761</v>
      </c>
      <c r="G51" s="11" t="s">
        <v>432</v>
      </c>
      <c r="H51" t="s">
        <v>137</v>
      </c>
      <c r="I51" s="1">
        <f>SUM(K51:LG51)</f>
        <v>37</v>
      </c>
      <c r="J51" s="14">
        <f t="shared" si="2"/>
        <v>37</v>
      </c>
      <c r="K51" s="1"/>
      <c r="L51" s="1"/>
      <c r="M51" s="1"/>
      <c r="N51" s="1"/>
      <c r="O51" s="1"/>
      <c r="P51" s="1"/>
      <c r="Q51" s="1">
        <v>8</v>
      </c>
      <c r="R51" s="1"/>
      <c r="S51" s="1"/>
      <c r="T51" s="1"/>
      <c r="U51" s="1"/>
      <c r="V51" s="1"/>
      <c r="W51" s="1"/>
      <c r="X51" s="1">
        <v>10</v>
      </c>
      <c r="Y51" s="1"/>
      <c r="Z51" s="1"/>
      <c r="AA51" s="1"/>
      <c r="AB51" s="1"/>
      <c r="AC51" s="1"/>
      <c r="AD51" s="1"/>
      <c r="AE51" s="1">
        <v>4</v>
      </c>
      <c r="AF51" s="1"/>
      <c r="AG51" s="1"/>
      <c r="AH51" s="1"/>
      <c r="AI51" s="1"/>
      <c r="AJ51" s="1"/>
      <c r="AK51" s="1"/>
      <c r="AL51" s="1"/>
      <c r="AM51" s="1"/>
      <c r="AN51" s="1">
        <v>5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>
        <v>10</v>
      </c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>
        <v>0</v>
      </c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</row>
    <row r="52" spans="1:319" s="12" customFormat="1" ht="18" customHeight="1" x14ac:dyDescent="0.25">
      <c r="A52" s="14">
        <v>43</v>
      </c>
      <c r="B52" s="13" t="s">
        <v>133</v>
      </c>
      <c r="C52" s="1">
        <v>11524</v>
      </c>
      <c r="D52" s="1">
        <v>2015</v>
      </c>
      <c r="E52" t="s">
        <v>129</v>
      </c>
      <c r="F52" s="1">
        <v>338</v>
      </c>
      <c r="G52" s="11" t="s">
        <v>434</v>
      </c>
      <c r="H52" s="4" t="s">
        <v>127</v>
      </c>
      <c r="I52" s="1">
        <f>SUM(K52:LG52)</f>
        <v>35</v>
      </c>
      <c r="J52" s="14">
        <f t="shared" si="2"/>
        <v>35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>
        <v>3</v>
      </c>
      <c r="DK52"/>
      <c r="DL52"/>
      <c r="DM52"/>
      <c r="DN52"/>
      <c r="DO52"/>
      <c r="DP52"/>
      <c r="DQ52"/>
      <c r="DR52">
        <v>0</v>
      </c>
      <c r="DS52"/>
      <c r="DT52"/>
      <c r="DU52"/>
      <c r="DV52"/>
      <c r="DW52"/>
      <c r="DX52"/>
      <c r="DY52"/>
      <c r="DZ52"/>
      <c r="EA52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>
        <f>2+5</f>
        <v>7</v>
      </c>
      <c r="ES52"/>
      <c r="ET52"/>
      <c r="EU52"/>
      <c r="EV52"/>
      <c r="EW52"/>
      <c r="EX52"/>
      <c r="EY52"/>
      <c r="EZ52">
        <f>3+5</f>
        <v>8</v>
      </c>
      <c r="FA52"/>
      <c r="FB52"/>
      <c r="FC52"/>
      <c r="FD52"/>
      <c r="FE52"/>
      <c r="FF52"/>
      <c r="FG52"/>
      <c r="FH52"/>
      <c r="FI52"/>
      <c r="FJ52"/>
      <c r="FK52"/>
      <c r="FL52"/>
      <c r="FM52" s="266"/>
      <c r="FN52"/>
      <c r="FO52"/>
      <c r="FP52" s="266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 s="266"/>
      <c r="GF52">
        <f>3+2</f>
        <v>5</v>
      </c>
      <c r="GG52"/>
      <c r="GH52"/>
      <c r="GI52"/>
      <c r="GJ52"/>
      <c r="GK52"/>
      <c r="GL52"/>
      <c r="GM52"/>
      <c r="GN52">
        <f>3+4</f>
        <v>7</v>
      </c>
      <c r="GO52"/>
      <c r="GP52"/>
      <c r="GQ52"/>
      <c r="GR52"/>
      <c r="GS52"/>
      <c r="GT52"/>
      <c r="GU52"/>
      <c r="GV52"/>
      <c r="GW52">
        <f>2+3</f>
        <v>5</v>
      </c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</row>
    <row r="53" spans="1:319" s="12" customFormat="1" ht="18" customHeight="1" x14ac:dyDescent="0.25">
      <c r="A53" s="14">
        <v>44</v>
      </c>
      <c r="B53" s="13" t="s">
        <v>136</v>
      </c>
      <c r="C53" s="1">
        <v>11347</v>
      </c>
      <c r="D53" s="1">
        <v>2017</v>
      </c>
      <c r="E53" t="s">
        <v>134</v>
      </c>
      <c r="F53" s="1" t="s">
        <v>135</v>
      </c>
      <c r="G53" s="11" t="s">
        <v>434</v>
      </c>
      <c r="H53" s="4" t="s">
        <v>137</v>
      </c>
      <c r="I53" s="1">
        <f>SUM(K53:LG53)</f>
        <v>32</v>
      </c>
      <c r="J53" s="14">
        <f>Tabuľka3[[#This Row],[Stĺpec9]]</f>
        <v>32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>
        <v>8</v>
      </c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>
        <v>8</v>
      </c>
      <c r="AZ53" s="1"/>
      <c r="BA53" s="1"/>
      <c r="BB53" s="1"/>
      <c r="BC53" s="1"/>
      <c r="BD53" s="1"/>
      <c r="BE53" s="1"/>
      <c r="BF53" s="1">
        <v>8</v>
      </c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>
        <v>4</v>
      </c>
      <c r="CL53" s="1"/>
      <c r="CM53" s="1"/>
      <c r="CN53" s="1"/>
      <c r="CO53" s="1"/>
      <c r="CP53" s="1"/>
      <c r="CQ53" s="1"/>
      <c r="CR53" s="1">
        <v>4</v>
      </c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</row>
    <row r="54" spans="1:319" s="12" customFormat="1" ht="18" customHeight="1" x14ac:dyDescent="0.25">
      <c r="A54" s="14"/>
      <c r="B54" s="13" t="s">
        <v>123</v>
      </c>
      <c r="C54" s="1">
        <v>11080</v>
      </c>
      <c r="D54" s="1">
        <v>2015</v>
      </c>
      <c r="E54" t="s">
        <v>118</v>
      </c>
      <c r="F54" s="1">
        <v>6972</v>
      </c>
      <c r="G54" s="1" t="s">
        <v>434</v>
      </c>
      <c r="H54" t="s">
        <v>120</v>
      </c>
      <c r="I54" s="1">
        <f>SUM(K54:LG54)</f>
        <v>32</v>
      </c>
      <c r="J54" s="14">
        <f>I54</f>
        <v>32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>
        <v>11</v>
      </c>
      <c r="CL54" s="1"/>
      <c r="CM54" s="1">
        <v>13</v>
      </c>
      <c r="CN54" s="1"/>
      <c r="CO54" s="1"/>
      <c r="CP54" s="1"/>
      <c r="CQ54" s="1"/>
      <c r="CR54" s="1"/>
      <c r="CS54" s="1">
        <v>8</v>
      </c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</row>
    <row r="55" spans="1:319" s="12" customFormat="1" ht="18" customHeight="1" x14ac:dyDescent="0.25">
      <c r="A55" s="14">
        <v>46</v>
      </c>
      <c r="B55" s="275" t="s">
        <v>395</v>
      </c>
      <c r="C55" s="270">
        <v>10031</v>
      </c>
      <c r="D55" s="270">
        <v>2003</v>
      </c>
      <c r="E55" s="4" t="s">
        <v>393</v>
      </c>
      <c r="F55" s="1">
        <v>8039</v>
      </c>
      <c r="G55" s="1" t="s">
        <v>437</v>
      </c>
      <c r="H55" t="s">
        <v>206</v>
      </c>
      <c r="I55" s="1">
        <f>SUM(K55:LG55)</f>
        <v>31</v>
      </c>
      <c r="J55" s="14">
        <f>I55</f>
        <v>31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268"/>
      <c r="FI55" s="268"/>
      <c r="FJ55" s="268"/>
      <c r="FK55" s="268"/>
      <c r="FL55" s="268"/>
      <c r="FM55" s="264"/>
      <c r="FN55" s="268"/>
      <c r="FO55" s="268"/>
      <c r="FP55" s="264"/>
      <c r="FQ55" s="264">
        <v>2</v>
      </c>
      <c r="FR55" s="264">
        <f>2+4</f>
        <v>6</v>
      </c>
      <c r="FS55" s="268"/>
      <c r="FT55" s="268"/>
      <c r="FU55" s="268"/>
      <c r="FV55" s="268"/>
      <c r="FW55" s="268"/>
      <c r="FX55" s="264">
        <f t="shared" ref="FX55:FY55" si="4">3+2</f>
        <v>5</v>
      </c>
      <c r="FY55" s="264">
        <f t="shared" si="4"/>
        <v>5</v>
      </c>
      <c r="FZ55" s="268"/>
      <c r="GA55" s="268"/>
      <c r="GB55" s="268"/>
      <c r="GC55" s="268"/>
      <c r="GD55" s="268"/>
      <c r="GE55" s="264"/>
      <c r="GF55" s="268"/>
      <c r="GG55" s="268"/>
      <c r="GH55" s="268"/>
      <c r="GI55" s="268"/>
      <c r="GJ55" s="268"/>
      <c r="GK55" s="268"/>
      <c r="GL55" s="268"/>
      <c r="GM55" s="268"/>
      <c r="GN55" s="268"/>
      <c r="GO55" s="268"/>
      <c r="GP55" s="268"/>
      <c r="GQ55" s="268"/>
      <c r="GR55" s="268"/>
      <c r="GS55" s="268"/>
      <c r="GT55" s="268"/>
      <c r="GU55" s="268"/>
      <c r="GV55" s="268"/>
      <c r="GW55" s="268"/>
      <c r="GX55" s="268"/>
      <c r="GY55" s="268"/>
      <c r="GZ55" s="268"/>
      <c r="HA55" s="268"/>
      <c r="HB55" s="268"/>
      <c r="HC55" s="268"/>
      <c r="HD55" s="268"/>
      <c r="HE55" s="268"/>
      <c r="HF55" s="268"/>
      <c r="HG55" s="268"/>
      <c r="HH55" s="268"/>
      <c r="HI55" s="268"/>
      <c r="HJ55" s="268"/>
      <c r="HK55" s="268"/>
      <c r="HL55" s="268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>
        <v>1</v>
      </c>
      <c r="JJ55" s="1">
        <v>5</v>
      </c>
      <c r="JK55" s="1"/>
      <c r="JL55" s="1"/>
      <c r="JM55" s="1"/>
      <c r="JN55" s="1"/>
      <c r="JO55" s="1">
        <v>3</v>
      </c>
      <c r="JP55" s="1">
        <v>1</v>
      </c>
      <c r="JQ55" s="1"/>
      <c r="JR55" s="1"/>
      <c r="JS55" s="1"/>
      <c r="JT55" s="1"/>
      <c r="JU55" s="1">
        <v>0</v>
      </c>
      <c r="JV55" s="1"/>
      <c r="JW55" s="1">
        <v>3</v>
      </c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</row>
    <row r="56" spans="1:319" s="12" customFormat="1" ht="18" customHeight="1" x14ac:dyDescent="0.25">
      <c r="A56" s="14"/>
      <c r="B56" s="13" t="s">
        <v>155</v>
      </c>
      <c r="C56" s="1">
        <v>10657</v>
      </c>
      <c r="D56" s="1"/>
      <c r="E56" t="s">
        <v>152</v>
      </c>
      <c r="F56" s="1">
        <v>2366</v>
      </c>
      <c r="G56" s="1" t="s">
        <v>434</v>
      </c>
      <c r="H56" t="s">
        <v>127</v>
      </c>
      <c r="I56" s="1">
        <f>SUM(K56:LG56)</f>
        <v>31</v>
      </c>
      <c r="J56" s="14">
        <f>I56</f>
        <v>31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/>
      <c r="DK56"/>
      <c r="DL56"/>
      <c r="DM56"/>
      <c r="DN56"/>
      <c r="DO56">
        <v>4</v>
      </c>
      <c r="DP56">
        <v>0</v>
      </c>
      <c r="DQ56"/>
      <c r="DR56"/>
      <c r="DS56"/>
      <c r="DT56"/>
      <c r="DU56"/>
      <c r="DV56"/>
      <c r="DW56">
        <v>4</v>
      </c>
      <c r="DX56"/>
      <c r="DY56"/>
      <c r="DZ56"/>
      <c r="EA56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/>
      <c r="ES56"/>
      <c r="ET56"/>
      <c r="EU56"/>
      <c r="EV56"/>
      <c r="EW56">
        <v>3</v>
      </c>
      <c r="EX56"/>
      <c r="EY56"/>
      <c r="EZ56"/>
      <c r="FA56"/>
      <c r="FB56"/>
      <c r="FC56"/>
      <c r="FD56"/>
      <c r="FE56">
        <v>2</v>
      </c>
      <c r="FF56"/>
      <c r="FG56"/>
      <c r="FH56"/>
      <c r="FI56"/>
      <c r="FJ56"/>
      <c r="FK56"/>
      <c r="FL56"/>
      <c r="FM56" s="266"/>
      <c r="FN56"/>
      <c r="FO56"/>
      <c r="FP56" s="26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 s="266"/>
      <c r="GF56"/>
      <c r="GG56"/>
      <c r="GH56"/>
      <c r="GI56"/>
      <c r="GJ56">
        <f>3+4</f>
        <v>7</v>
      </c>
      <c r="GK56"/>
      <c r="GL56"/>
      <c r="GM56"/>
      <c r="GN56"/>
      <c r="GO56"/>
      <c r="GP56"/>
      <c r="GQ56"/>
      <c r="GR56">
        <f>5+3</f>
        <v>8</v>
      </c>
      <c r="GS56"/>
      <c r="GT56"/>
      <c r="GU56"/>
      <c r="GV56"/>
      <c r="GW56"/>
      <c r="GX56"/>
      <c r="GY56"/>
      <c r="GZ56"/>
      <c r="HA56">
        <v>3</v>
      </c>
      <c r="HB56"/>
      <c r="HC56"/>
      <c r="HD56"/>
      <c r="HE56"/>
      <c r="HF56"/>
      <c r="HG56"/>
      <c r="HH56"/>
      <c r="HI56"/>
      <c r="HJ56"/>
      <c r="HK56"/>
      <c r="HL56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</row>
    <row r="57" spans="1:319" s="12" customFormat="1" ht="18" customHeight="1" x14ac:dyDescent="0.25">
      <c r="A57" s="14">
        <v>48</v>
      </c>
      <c r="B57" s="13" t="s">
        <v>277</v>
      </c>
      <c r="C57" s="1">
        <v>6970</v>
      </c>
      <c r="D57" s="1"/>
      <c r="E57" t="s">
        <v>276</v>
      </c>
      <c r="F57" s="1">
        <v>6705</v>
      </c>
      <c r="G57" s="11" t="s">
        <v>436</v>
      </c>
      <c r="H57" s="4" t="s">
        <v>221</v>
      </c>
      <c r="I57" s="1">
        <f>SUM(K57:LG57)</f>
        <v>28</v>
      </c>
      <c r="J57" s="14">
        <f>I57</f>
        <v>28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>
        <v>8</v>
      </c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/>
      <c r="EC57"/>
      <c r="ED57"/>
      <c r="EE57"/>
      <c r="EF57"/>
      <c r="EG57">
        <f>4+3</f>
        <v>7</v>
      </c>
      <c r="EH57"/>
      <c r="EI57"/>
      <c r="EJ57"/>
      <c r="EK57"/>
      <c r="EL57"/>
      <c r="EM57"/>
      <c r="EN57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>
        <v>1</v>
      </c>
      <c r="KF57" s="1"/>
      <c r="KG57" s="1"/>
      <c r="KH57" s="1"/>
      <c r="KI57" s="1">
        <v>3</v>
      </c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>
        <v>6</v>
      </c>
      <c r="LA57" s="1">
        <v>3</v>
      </c>
      <c r="LB57" s="1"/>
      <c r="LC57" s="1"/>
      <c r="LD57" s="1"/>
      <c r="LE57" s="1"/>
      <c r="LF57" s="1"/>
      <c r="LG57" s="1"/>
    </row>
    <row r="58" spans="1:319" s="12" customFormat="1" ht="18" customHeight="1" x14ac:dyDescent="0.25">
      <c r="A58" s="14">
        <v>49</v>
      </c>
      <c r="B58" s="63" t="s">
        <v>184</v>
      </c>
      <c r="C58" s="1">
        <v>10853</v>
      </c>
      <c r="D58" s="1">
        <v>2015</v>
      </c>
      <c r="E58" t="s">
        <v>183</v>
      </c>
      <c r="F58" s="1">
        <v>7998</v>
      </c>
      <c r="G58" s="11" t="s">
        <v>434</v>
      </c>
      <c r="H58" s="4" t="s">
        <v>137</v>
      </c>
      <c r="I58" s="1">
        <f>SUM(K58:LG58)</f>
        <v>27</v>
      </c>
      <c r="J58" s="14">
        <f t="shared" ref="J58:J72" si="5">I58</f>
        <v>27</v>
      </c>
      <c r="K58" s="1"/>
      <c r="L58" s="1"/>
      <c r="M58" s="1">
        <v>3</v>
      </c>
      <c r="N58" s="1"/>
      <c r="O58" s="1">
        <v>4</v>
      </c>
      <c r="P58" s="1"/>
      <c r="Q58" s="1"/>
      <c r="R58" s="1"/>
      <c r="S58" s="1"/>
      <c r="T58" s="1">
        <v>4</v>
      </c>
      <c r="U58" s="1"/>
      <c r="V58" s="1">
        <v>4</v>
      </c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>
        <v>6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>
        <f>2+4</f>
        <v>6</v>
      </c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</row>
    <row r="59" spans="1:319" s="12" customFormat="1" ht="18" customHeight="1" x14ac:dyDescent="0.25">
      <c r="A59" s="14">
        <v>50</v>
      </c>
      <c r="B59" s="13" t="s">
        <v>191</v>
      </c>
      <c r="C59" s="1">
        <v>10893</v>
      </c>
      <c r="D59" s="1">
        <v>2015</v>
      </c>
      <c r="E59" t="s">
        <v>190</v>
      </c>
      <c r="F59" s="1">
        <v>4692</v>
      </c>
      <c r="G59" s="1" t="s">
        <v>434</v>
      </c>
      <c r="H59" t="s">
        <v>192</v>
      </c>
      <c r="I59" s="1">
        <f>SUM(K59:LG59)</f>
        <v>26.6</v>
      </c>
      <c r="J59" s="14">
        <f>I59</f>
        <v>26.6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>
        <v>7</v>
      </c>
      <c r="BN59" s="1">
        <v>10</v>
      </c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>
        <v>4.8</v>
      </c>
      <c r="EA59" s="1">
        <v>4.8</v>
      </c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</row>
    <row r="60" spans="1:319" ht="18" customHeight="1" x14ac:dyDescent="0.25">
      <c r="A60" s="14">
        <v>51</v>
      </c>
      <c r="B60" s="13" t="s">
        <v>319</v>
      </c>
      <c r="C60" s="1">
        <v>10933</v>
      </c>
      <c r="D60" s="1">
        <v>2006</v>
      </c>
      <c r="E60" t="s">
        <v>318</v>
      </c>
      <c r="F60" s="1">
        <v>8349</v>
      </c>
      <c r="G60" s="11" t="s">
        <v>432</v>
      </c>
      <c r="H60" s="4" t="s">
        <v>137</v>
      </c>
      <c r="I60" s="1">
        <f>SUM(K60:LG60)</f>
        <v>26.4</v>
      </c>
      <c r="J60" s="14">
        <f>Tabuľka3[[#This Row],[Stĺpec9]]</f>
        <v>26.4</v>
      </c>
      <c r="BX60" s="1">
        <v>6</v>
      </c>
      <c r="BY60" s="1">
        <v>12</v>
      </c>
      <c r="JH60" s="268"/>
      <c r="JI60" s="268"/>
      <c r="JJ60" s="268"/>
      <c r="JK60" s="268">
        <f>(0+2)*1.2</f>
        <v>2.4</v>
      </c>
      <c r="JL60" s="268"/>
      <c r="JM60" s="268"/>
      <c r="JN60" s="268"/>
      <c r="JO60" s="268"/>
      <c r="JP60" s="268"/>
      <c r="JQ60" s="268">
        <f>(1+4)*1.2</f>
        <v>6</v>
      </c>
    </row>
    <row r="61" spans="1:319" s="12" customFormat="1" ht="18" customHeight="1" x14ac:dyDescent="0.25">
      <c r="A61" s="14">
        <v>52</v>
      </c>
      <c r="B61" s="13" t="s">
        <v>311</v>
      </c>
      <c r="C61" s="1">
        <v>8781</v>
      </c>
      <c r="D61" s="1">
        <v>2010</v>
      </c>
      <c r="E61" t="s">
        <v>308</v>
      </c>
      <c r="F61" s="1">
        <v>6761</v>
      </c>
      <c r="G61" s="11" t="s">
        <v>432</v>
      </c>
      <c r="H61" t="s">
        <v>137</v>
      </c>
      <c r="I61" s="1">
        <f>SUM(K61:LG61)</f>
        <v>19</v>
      </c>
      <c r="J61" s="14">
        <f>SUM(I61:I62)</f>
        <v>26</v>
      </c>
      <c r="K61" s="1"/>
      <c r="L61" s="1"/>
      <c r="M61" s="1"/>
      <c r="N61" s="1">
        <v>1</v>
      </c>
      <c r="O61" s="1"/>
      <c r="P61" s="1"/>
      <c r="Q61" s="1"/>
      <c r="R61" s="1"/>
      <c r="S61" s="1"/>
      <c r="T61" s="1"/>
      <c r="U61" s="1">
        <v>3</v>
      </c>
      <c r="V61" s="1"/>
      <c r="W61" s="1"/>
      <c r="X61" s="1"/>
      <c r="Y61" s="1"/>
      <c r="Z61" s="1">
        <v>1</v>
      </c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>
        <v>0</v>
      </c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>
        <v>0</v>
      </c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>
        <v>0</v>
      </c>
      <c r="JJ61" s="1"/>
      <c r="JK61" s="1"/>
      <c r="JL61" s="1"/>
      <c r="JM61" s="1"/>
      <c r="JN61" s="1"/>
      <c r="JO61" s="1">
        <v>0</v>
      </c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268"/>
      <c r="KW61" s="268">
        <f>3+3</f>
        <v>6</v>
      </c>
      <c r="KX61" s="268"/>
      <c r="KY61" s="268"/>
      <c r="KZ61" s="268"/>
      <c r="LA61" s="268"/>
      <c r="LB61" s="268"/>
      <c r="LC61" s="268">
        <f>3+5</f>
        <v>8</v>
      </c>
      <c r="LD61" s="1"/>
      <c r="LE61" s="1"/>
      <c r="LF61" s="1"/>
      <c r="LG61" s="1"/>
    </row>
    <row r="62" spans="1:319" s="12" customFormat="1" ht="18" customHeight="1" x14ac:dyDescent="0.25">
      <c r="A62" s="14"/>
      <c r="B62" s="13"/>
      <c r="C62" s="1"/>
      <c r="D62" s="1"/>
      <c r="E62" t="s">
        <v>398</v>
      </c>
      <c r="F62" s="1">
        <v>8604</v>
      </c>
      <c r="G62" s="1" t="s">
        <v>437</v>
      </c>
      <c r="H62"/>
      <c r="I62" s="1">
        <f>SUM(K62:LG62)</f>
        <v>7</v>
      </c>
      <c r="J62" s="66"/>
      <c r="K62" s="1"/>
      <c r="L62" s="1"/>
      <c r="M62" s="1"/>
      <c r="N62" s="1"/>
      <c r="O62" s="1">
        <v>1</v>
      </c>
      <c r="P62" s="1"/>
      <c r="Q62" s="1"/>
      <c r="R62" s="1"/>
      <c r="S62" s="1"/>
      <c r="T62" s="1"/>
      <c r="U62" s="1"/>
      <c r="V62" s="1">
        <v>0</v>
      </c>
      <c r="W62" s="1"/>
      <c r="X62" s="1"/>
      <c r="Y62" s="1"/>
      <c r="Z62" s="1"/>
      <c r="AA62" s="1"/>
      <c r="AB62" s="1">
        <v>0</v>
      </c>
      <c r="AC62" s="1"/>
      <c r="AD62" s="1"/>
      <c r="AE62" s="1"/>
      <c r="AF62" s="1"/>
      <c r="AG62" s="1"/>
      <c r="AH62" s="1"/>
      <c r="AI62" s="1"/>
      <c r="AJ62" s="1"/>
      <c r="AK62" s="1"/>
      <c r="AL62" s="1">
        <v>0</v>
      </c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268"/>
      <c r="KW62" s="268"/>
      <c r="KX62" s="268"/>
      <c r="KY62" s="268">
        <f>1</f>
        <v>1</v>
      </c>
      <c r="KZ62" s="268"/>
      <c r="LA62" s="268"/>
      <c r="LB62" s="268"/>
      <c r="LC62" s="268"/>
      <c r="LD62" s="268"/>
      <c r="LE62" s="268">
        <f>3+2</f>
        <v>5</v>
      </c>
      <c r="LF62" s="1"/>
      <c r="LG62" s="1"/>
    </row>
    <row r="63" spans="1:319" s="12" customFormat="1" ht="18" customHeight="1" x14ac:dyDescent="0.25">
      <c r="A63" s="14">
        <v>53</v>
      </c>
      <c r="B63" s="13" t="s">
        <v>229</v>
      </c>
      <c r="C63" s="1">
        <v>10715</v>
      </c>
      <c r="D63" s="1">
        <v>2013</v>
      </c>
      <c r="E63" s="4" t="s">
        <v>320</v>
      </c>
      <c r="F63" s="1">
        <v>7468</v>
      </c>
      <c r="G63" s="11" t="s">
        <v>432</v>
      </c>
      <c r="H63" s="4" t="s">
        <v>218</v>
      </c>
      <c r="I63" s="1">
        <f>SUM(K63:LG63)</f>
        <v>25</v>
      </c>
      <c r="J63" s="14">
        <f>I63</f>
        <v>25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>
        <v>3</v>
      </c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>
        <v>1</v>
      </c>
      <c r="BA63" s="1"/>
      <c r="BB63" s="1">
        <v>7</v>
      </c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268"/>
      <c r="KD63" s="268"/>
      <c r="KE63" s="268">
        <f>4+3</f>
        <v>7</v>
      </c>
      <c r="KF63" s="268"/>
      <c r="KG63" s="268"/>
      <c r="KH63" s="268"/>
      <c r="KI63" s="268">
        <f>3+4</f>
        <v>7</v>
      </c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</row>
    <row r="64" spans="1:319" s="12" customFormat="1" ht="18" customHeight="1" x14ac:dyDescent="0.3">
      <c r="A64" s="14">
        <v>54</v>
      </c>
      <c r="B64" s="13" t="s">
        <v>441</v>
      </c>
      <c r="C64" s="1">
        <v>9461</v>
      </c>
      <c r="D64" s="1">
        <v>2012</v>
      </c>
      <c r="E64" t="s">
        <v>187</v>
      </c>
      <c r="F64" s="1">
        <v>4112</v>
      </c>
      <c r="G64" s="1" t="s">
        <v>434</v>
      </c>
      <c r="H64" t="s">
        <v>178</v>
      </c>
      <c r="I64" s="1">
        <f>SUM(K64:LG64)</f>
        <v>24</v>
      </c>
      <c r="J64" s="14">
        <f>I64</f>
        <v>24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>
        <v>0</v>
      </c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/>
      <c r="FI64"/>
      <c r="FJ64" s="265">
        <v>0</v>
      </c>
      <c r="FK64" s="265">
        <v>4</v>
      </c>
      <c r="FL64"/>
      <c r="FM64" s="264"/>
      <c r="FN64"/>
      <c r="FO64"/>
      <c r="FP64" s="2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 s="2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>
        <f>5+1</f>
        <v>6</v>
      </c>
      <c r="HK64">
        <v>4</v>
      </c>
      <c r="HL64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>
        <v>1</v>
      </c>
      <c r="KF64" s="1"/>
      <c r="KG64" s="1"/>
      <c r="KH64" s="1"/>
      <c r="KI64" s="1">
        <v>0</v>
      </c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>
        <v>0</v>
      </c>
      <c r="KX64" s="1"/>
      <c r="KY64" s="1">
        <v>5</v>
      </c>
      <c r="KZ64" s="1"/>
      <c r="LA64" s="1"/>
      <c r="LB64" s="1"/>
      <c r="LC64" s="1">
        <v>2</v>
      </c>
      <c r="LD64" s="1"/>
      <c r="LE64" s="1"/>
      <c r="LF64" s="1">
        <v>2</v>
      </c>
      <c r="LG64" s="1"/>
    </row>
    <row r="65" spans="1:319" s="12" customFormat="1" ht="18" customHeight="1" x14ac:dyDescent="0.25">
      <c r="A65" s="14"/>
      <c r="B65" s="13" t="s">
        <v>175</v>
      </c>
      <c r="C65" s="1">
        <v>10808</v>
      </c>
      <c r="D65" s="1">
        <v>2012</v>
      </c>
      <c r="E65" t="s">
        <v>439</v>
      </c>
      <c r="F65" s="1">
        <v>6122</v>
      </c>
      <c r="G65" s="1" t="s">
        <v>434</v>
      </c>
      <c r="H65" t="s">
        <v>194</v>
      </c>
      <c r="I65" s="1">
        <f>SUM(K65:LG65)</f>
        <v>23</v>
      </c>
      <c r="J65" s="14">
        <f>SUM(I65:I66)</f>
        <v>24</v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/>
      <c r="DK65"/>
      <c r="DL65"/>
      <c r="DM65">
        <v>0</v>
      </c>
      <c r="DN65">
        <v>0</v>
      </c>
      <c r="DO65"/>
      <c r="DP65"/>
      <c r="DQ65"/>
      <c r="DR65"/>
      <c r="DS65"/>
      <c r="DT65"/>
      <c r="DU65">
        <v>0</v>
      </c>
      <c r="DV65"/>
      <c r="DW65"/>
      <c r="DX65"/>
      <c r="DY65"/>
      <c r="DZ65"/>
      <c r="EA65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/>
      <c r="ES65"/>
      <c r="ET65"/>
      <c r="EU65">
        <v>0</v>
      </c>
      <c r="EV65">
        <v>0</v>
      </c>
      <c r="EW65"/>
      <c r="EX65"/>
      <c r="EY65"/>
      <c r="EZ65"/>
      <c r="FA65"/>
      <c r="FB65"/>
      <c r="FC65">
        <f>0+1</f>
        <v>1</v>
      </c>
      <c r="FD65">
        <v>0</v>
      </c>
      <c r="FE65"/>
      <c r="FF65"/>
      <c r="FG65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268">
        <f>1+3</f>
        <v>4</v>
      </c>
      <c r="IL65" s="268">
        <f>2+3</f>
        <v>5</v>
      </c>
      <c r="IM65" s="268"/>
      <c r="IN65" s="268">
        <f>0+5</f>
        <v>5</v>
      </c>
      <c r="IO65" s="268">
        <f>0+1</f>
        <v>1</v>
      </c>
      <c r="IP65" s="268"/>
      <c r="IQ65" s="268"/>
      <c r="IR65" s="268"/>
      <c r="IS65" s="268"/>
      <c r="IT65" s="268">
        <v>3</v>
      </c>
      <c r="IU65" s="268">
        <f>2+1</f>
        <v>3</v>
      </c>
      <c r="IV65" s="268"/>
      <c r="IW65" s="268"/>
      <c r="IX65" s="268"/>
      <c r="IY65" s="268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268"/>
      <c r="JU65" s="268">
        <v>0</v>
      </c>
      <c r="JV65" s="268"/>
      <c r="JW65" s="268">
        <v>1</v>
      </c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</row>
    <row r="66" spans="1:319" s="12" customFormat="1" ht="18" customHeight="1" x14ac:dyDescent="0.25">
      <c r="A66" s="14"/>
      <c r="B66" s="25"/>
      <c r="C66" s="29"/>
      <c r="D66" s="29"/>
      <c r="E66" t="s">
        <v>173</v>
      </c>
      <c r="F66" s="1">
        <v>1742</v>
      </c>
      <c r="G66" s="11" t="s">
        <v>434</v>
      </c>
      <c r="H66" s="4" t="s">
        <v>146</v>
      </c>
      <c r="I66" s="1">
        <f>SUM(K66:LG66)</f>
        <v>1</v>
      </c>
      <c r="J66" s="66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/>
      <c r="DK66"/>
      <c r="DL66"/>
      <c r="DM66"/>
      <c r="DN66"/>
      <c r="DO66"/>
      <c r="DP66"/>
      <c r="DQ66"/>
      <c r="DR66"/>
      <c r="DS66"/>
      <c r="DT66"/>
      <c r="DU66"/>
      <c r="DV66">
        <f>1</f>
        <v>1</v>
      </c>
      <c r="DW66"/>
      <c r="DX66"/>
      <c r="DY66"/>
      <c r="DZ66"/>
      <c r="EA66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</row>
    <row r="67" spans="1:319" s="12" customFormat="1" ht="18" customHeight="1" x14ac:dyDescent="0.25">
      <c r="A67" s="14"/>
      <c r="B67" s="13" t="s">
        <v>124</v>
      </c>
      <c r="C67" s="1">
        <v>11081</v>
      </c>
      <c r="D67" s="1">
        <v>2015</v>
      </c>
      <c r="E67" t="s">
        <v>118</v>
      </c>
      <c r="F67" s="1">
        <v>6972</v>
      </c>
      <c r="G67" s="1" t="s">
        <v>434</v>
      </c>
      <c r="H67" t="s">
        <v>120</v>
      </c>
      <c r="I67" s="1">
        <f>SUM(K67:LG67)</f>
        <v>24</v>
      </c>
      <c r="J67" s="14">
        <f t="shared" si="5"/>
        <v>24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>
        <v>8</v>
      </c>
      <c r="CL67" s="1"/>
      <c r="CM67" s="1">
        <v>10</v>
      </c>
      <c r="CN67" s="1"/>
      <c r="CO67" s="1"/>
      <c r="CP67" s="1"/>
      <c r="CQ67" s="1"/>
      <c r="CR67" s="1"/>
      <c r="CS67" s="1">
        <v>6</v>
      </c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</row>
    <row r="68" spans="1:319" s="12" customFormat="1" ht="19.5" customHeight="1" x14ac:dyDescent="0.25">
      <c r="A68" s="14">
        <v>57</v>
      </c>
      <c r="B68" s="13" t="s">
        <v>157</v>
      </c>
      <c r="C68" s="1">
        <v>11523</v>
      </c>
      <c r="D68" s="1">
        <v>2015</v>
      </c>
      <c r="E68" t="s">
        <v>152</v>
      </c>
      <c r="F68" s="1">
        <v>2366</v>
      </c>
      <c r="G68" s="1" t="s">
        <v>434</v>
      </c>
      <c r="H68" t="s">
        <v>127</v>
      </c>
      <c r="I68" s="1">
        <f>SUM(K68:LG68)</f>
        <v>23</v>
      </c>
      <c r="J68" s="14">
        <f>I68</f>
        <v>23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>
        <v>0</v>
      </c>
      <c r="DK68"/>
      <c r="DL68"/>
      <c r="DM68"/>
      <c r="DN68"/>
      <c r="DO68"/>
      <c r="DP68"/>
      <c r="DQ68"/>
      <c r="DR68">
        <f>2+1</f>
        <v>3</v>
      </c>
      <c r="DS68"/>
      <c r="DT68"/>
      <c r="DU68"/>
      <c r="DV68"/>
      <c r="DW68"/>
      <c r="DX68"/>
      <c r="DY68"/>
      <c r="DZ68"/>
      <c r="EA68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>
        <f>3+6</f>
        <v>9</v>
      </c>
      <c r="ES68"/>
      <c r="ET68"/>
      <c r="EU68"/>
      <c r="EV68"/>
      <c r="EW68"/>
      <c r="EX68"/>
      <c r="EY68"/>
      <c r="EZ68">
        <f>1+2</f>
        <v>3</v>
      </c>
      <c r="FA68"/>
      <c r="FB68"/>
      <c r="FC68"/>
      <c r="FD68"/>
      <c r="FE68"/>
      <c r="FF68"/>
      <c r="FG68"/>
      <c r="FH68"/>
      <c r="FI68"/>
      <c r="FJ68"/>
      <c r="FK68"/>
      <c r="FL68"/>
      <c r="FM68" s="266"/>
      <c r="FN68"/>
      <c r="FO68"/>
      <c r="FP68" s="266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 s="266"/>
      <c r="GF68">
        <v>0</v>
      </c>
      <c r="GG68"/>
      <c r="GH68"/>
      <c r="GI68"/>
      <c r="GJ68"/>
      <c r="GK68"/>
      <c r="GL68"/>
      <c r="GM68"/>
      <c r="GN68">
        <f>1+3</f>
        <v>4</v>
      </c>
      <c r="GO68"/>
      <c r="GP68"/>
      <c r="GQ68"/>
      <c r="GR68"/>
      <c r="GS68"/>
      <c r="GT68"/>
      <c r="GU68"/>
      <c r="GV68"/>
      <c r="GW68">
        <f>1+3</f>
        <v>4</v>
      </c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</row>
    <row r="69" spans="1:319" s="12" customFormat="1" ht="18" customHeight="1" x14ac:dyDescent="0.25">
      <c r="A69" s="14">
        <v>58</v>
      </c>
      <c r="B69" s="13" t="s">
        <v>156</v>
      </c>
      <c r="C69" s="1">
        <v>11292</v>
      </c>
      <c r="D69" s="1"/>
      <c r="E69" t="s">
        <v>152</v>
      </c>
      <c r="F69" s="1">
        <v>2366</v>
      </c>
      <c r="G69" s="1" t="s">
        <v>434</v>
      </c>
      <c r="H69" t="s">
        <v>127</v>
      </c>
      <c r="I69" s="1">
        <f>SUM(K69:LG69)</f>
        <v>21</v>
      </c>
      <c r="J69" s="14">
        <f>I69</f>
        <v>21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/>
      <c r="DK69"/>
      <c r="DL69"/>
      <c r="DM69">
        <v>1</v>
      </c>
      <c r="DN69">
        <f>1+2</f>
        <v>3</v>
      </c>
      <c r="DO69"/>
      <c r="DP69"/>
      <c r="DQ69"/>
      <c r="DR69"/>
      <c r="DS69"/>
      <c r="DT69"/>
      <c r="DU69">
        <f>1+2</f>
        <v>3</v>
      </c>
      <c r="DV69"/>
      <c r="DW69"/>
      <c r="DX69"/>
      <c r="DY69"/>
      <c r="DZ69"/>
      <c r="EA69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/>
      <c r="ES69"/>
      <c r="ET69"/>
      <c r="EU69">
        <v>0</v>
      </c>
      <c r="EV69">
        <f>1+3</f>
        <v>4</v>
      </c>
      <c r="EW69"/>
      <c r="EX69"/>
      <c r="EY69"/>
      <c r="EZ69"/>
      <c r="FA69"/>
      <c r="FB69"/>
      <c r="FC69">
        <f>1+2</f>
        <v>3</v>
      </c>
      <c r="FD69"/>
      <c r="FE69"/>
      <c r="FF69"/>
      <c r="FG69"/>
      <c r="FH69"/>
      <c r="FI69"/>
      <c r="FJ69"/>
      <c r="FK69"/>
      <c r="FL69"/>
      <c r="FM69" s="266"/>
      <c r="FN69"/>
      <c r="FO69"/>
      <c r="FP69" s="266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 s="266"/>
      <c r="GF69"/>
      <c r="GG69"/>
      <c r="GH69">
        <v>0</v>
      </c>
      <c r="GI69">
        <v>2</v>
      </c>
      <c r="GJ69"/>
      <c r="GK69"/>
      <c r="GL69"/>
      <c r="GM69"/>
      <c r="GN69"/>
      <c r="GO69">
        <f>1+1</f>
        <v>2</v>
      </c>
      <c r="GP69"/>
      <c r="GQ69"/>
      <c r="GR69"/>
      <c r="GS69"/>
      <c r="GT69"/>
      <c r="GU69"/>
      <c r="GV69"/>
      <c r="GW69"/>
      <c r="GX69"/>
      <c r="GY69"/>
      <c r="GZ69">
        <f>1+2</f>
        <v>3</v>
      </c>
      <c r="HA69"/>
      <c r="HB69"/>
      <c r="HC69"/>
      <c r="HD69"/>
      <c r="HE69"/>
      <c r="HF69"/>
      <c r="HG69"/>
      <c r="HH69"/>
      <c r="HI69"/>
      <c r="HJ69"/>
      <c r="HK69"/>
      <c r="HL69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</row>
    <row r="70" spans="1:319" s="12" customFormat="1" ht="18" customHeight="1" x14ac:dyDescent="0.25">
      <c r="A70" s="14">
        <v>59</v>
      </c>
      <c r="B70" s="13" t="s">
        <v>196</v>
      </c>
      <c r="C70" s="1">
        <v>9679</v>
      </c>
      <c r="D70" s="1">
        <v>2003</v>
      </c>
      <c r="E70" t="s">
        <v>195</v>
      </c>
      <c r="F70" s="1"/>
      <c r="G70" s="11" t="s">
        <v>434</v>
      </c>
      <c r="H70" s="4" t="s">
        <v>197</v>
      </c>
      <c r="I70" s="1">
        <f>SUM(K70:LG70)</f>
        <v>20</v>
      </c>
      <c r="J70" s="14">
        <f t="shared" si="5"/>
        <v>20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>
        <v>9</v>
      </c>
      <c r="BL70" s="1">
        <v>11</v>
      </c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</row>
    <row r="71" spans="1:319" s="12" customFormat="1" ht="18" customHeight="1" x14ac:dyDescent="0.25">
      <c r="A71" s="14">
        <v>60</v>
      </c>
      <c r="B71" s="13" t="s">
        <v>165</v>
      </c>
      <c r="C71" s="1">
        <v>11544</v>
      </c>
      <c r="D71" s="1">
        <v>2017</v>
      </c>
      <c r="E71" s="4" t="s">
        <v>164</v>
      </c>
      <c r="F71" s="1">
        <v>5185</v>
      </c>
      <c r="G71" s="11" t="s">
        <v>434</v>
      </c>
      <c r="H71" s="4" t="s">
        <v>137</v>
      </c>
      <c r="I71" s="1">
        <f>SUM(K71:LG71)</f>
        <v>19</v>
      </c>
      <c r="J71" s="14">
        <f>I71</f>
        <v>19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>
        <f>3+8</f>
        <v>11</v>
      </c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268"/>
      <c r="KL71" s="268">
        <f>2+6</f>
        <v>8</v>
      </c>
      <c r="KM71" s="268"/>
      <c r="KN71" s="268"/>
      <c r="KO71" s="387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</row>
    <row r="72" spans="1:319" s="12" customFormat="1" ht="18" customHeight="1" x14ac:dyDescent="0.25">
      <c r="A72" s="14">
        <v>61</v>
      </c>
      <c r="B72" s="13" t="s">
        <v>461</v>
      </c>
      <c r="C72" s="1">
        <v>10763</v>
      </c>
      <c r="D72" s="1"/>
      <c r="E72" t="s">
        <v>228</v>
      </c>
      <c r="F72" s="1">
        <v>2208</v>
      </c>
      <c r="G72" s="11" t="s">
        <v>434</v>
      </c>
      <c r="H72" s="4" t="s">
        <v>218</v>
      </c>
      <c r="I72" s="1">
        <f>SUM(K72:LG72)</f>
        <v>18</v>
      </c>
      <c r="J72" s="14">
        <f t="shared" si="5"/>
        <v>18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268"/>
      <c r="KD72" s="268"/>
      <c r="KE72" s="268"/>
      <c r="KF72" s="268">
        <f>6+2</f>
        <v>8</v>
      </c>
      <c r="KG72" s="268"/>
      <c r="KH72" s="268"/>
      <c r="KI72" s="268"/>
      <c r="KJ72" s="387">
        <f>6+4</f>
        <v>10</v>
      </c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</row>
    <row r="73" spans="1:319" s="12" customFormat="1" ht="18" customHeight="1" x14ac:dyDescent="0.25">
      <c r="A73" s="14">
        <v>62</v>
      </c>
      <c r="B73" s="13" t="s">
        <v>170</v>
      </c>
      <c r="C73" s="1">
        <v>9074</v>
      </c>
      <c r="D73" s="1">
        <v>2009</v>
      </c>
      <c r="E73" t="s">
        <v>169</v>
      </c>
      <c r="F73" s="1">
        <v>135</v>
      </c>
      <c r="G73" s="1" t="s">
        <v>434</v>
      </c>
      <c r="H73" t="s">
        <v>127</v>
      </c>
      <c r="I73" s="1">
        <f>SUM(K73:LG73)</f>
        <v>17</v>
      </c>
      <c r="J73" s="14">
        <f t="shared" ref="J73" si="6">I73</f>
        <v>17</v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/>
      <c r="ES73"/>
      <c r="ET73"/>
      <c r="EU73"/>
      <c r="EV73"/>
      <c r="EW73">
        <f>5+5</f>
        <v>10</v>
      </c>
      <c r="EX73"/>
      <c r="EY73"/>
      <c r="EZ73"/>
      <c r="FA73"/>
      <c r="FB73"/>
      <c r="FC73"/>
      <c r="FD73"/>
      <c r="FE73">
        <f>3+4</f>
        <v>7</v>
      </c>
      <c r="FF73"/>
      <c r="FG73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</row>
    <row r="74" spans="1:319" s="12" customFormat="1" ht="18" customHeight="1" x14ac:dyDescent="0.25">
      <c r="A74" s="14"/>
      <c r="B74" s="13" t="s">
        <v>214</v>
      </c>
      <c r="C74" s="1">
        <v>10653</v>
      </c>
      <c r="D74" s="1">
        <v>2015</v>
      </c>
      <c r="E74" t="s">
        <v>213</v>
      </c>
      <c r="F74" s="1">
        <v>2443</v>
      </c>
      <c r="G74" s="1" t="s">
        <v>434</v>
      </c>
      <c r="H74" t="s">
        <v>215</v>
      </c>
      <c r="I74" s="1">
        <f>SUM(K74:LG74)</f>
        <v>17</v>
      </c>
      <c r="J74" s="14">
        <f>I74</f>
        <v>17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>
        <v>0</v>
      </c>
      <c r="BA74" s="1">
        <v>0</v>
      </c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/>
      <c r="FI74"/>
      <c r="FJ74"/>
      <c r="FK74"/>
      <c r="FL74"/>
      <c r="FM74" s="264"/>
      <c r="FN74"/>
      <c r="FO74"/>
      <c r="FP74" s="26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 s="264"/>
      <c r="GF74"/>
      <c r="GG74"/>
      <c r="GH74"/>
      <c r="GI74">
        <v>0</v>
      </c>
      <c r="GJ74">
        <v>0</v>
      </c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>
        <v>0</v>
      </c>
      <c r="IC74" s="1">
        <v>5</v>
      </c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>
        <v>5</v>
      </c>
      <c r="KG74" s="1"/>
      <c r="KH74" s="1"/>
      <c r="KI74" s="1"/>
      <c r="KJ74" s="1">
        <v>7</v>
      </c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</row>
    <row r="75" spans="1:319" s="12" customFormat="1" ht="18" customHeight="1" x14ac:dyDescent="0.25">
      <c r="A75" s="14">
        <v>64</v>
      </c>
      <c r="B75" s="13" t="s">
        <v>147</v>
      </c>
      <c r="C75" s="1">
        <v>10993</v>
      </c>
      <c r="D75" s="1">
        <v>2016</v>
      </c>
      <c r="E75" t="s">
        <v>144</v>
      </c>
      <c r="F75" s="1">
        <v>7279</v>
      </c>
      <c r="G75" s="11" t="s">
        <v>434</v>
      </c>
      <c r="H75" s="4" t="s">
        <v>146</v>
      </c>
      <c r="I75" s="1">
        <f>SUM(K75:LG75)</f>
        <v>6</v>
      </c>
      <c r="J75" s="14">
        <f>SUM(I75:I76)</f>
        <v>16</v>
      </c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>
        <v>0</v>
      </c>
      <c r="CL75" s="1">
        <v>6</v>
      </c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</row>
    <row r="76" spans="1:319" s="12" customFormat="1" ht="18" customHeight="1" x14ac:dyDescent="0.25">
      <c r="A76" s="14"/>
      <c r="B76" s="13"/>
      <c r="C76" s="1"/>
      <c r="D76" s="1"/>
      <c r="E76" t="s">
        <v>396</v>
      </c>
      <c r="F76" s="1">
        <v>9008</v>
      </c>
      <c r="G76" s="11" t="s">
        <v>437</v>
      </c>
      <c r="H76" s="4"/>
      <c r="I76" s="1">
        <f>SUM(K76:LG76)</f>
        <v>10</v>
      </c>
      <c r="J76" s="66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>
        <v>0</v>
      </c>
      <c r="ES76"/>
      <c r="ET76"/>
      <c r="EU76">
        <v>0</v>
      </c>
      <c r="EV76"/>
      <c r="EW76"/>
      <c r="EX76"/>
      <c r="EY76"/>
      <c r="EZ76">
        <v>1</v>
      </c>
      <c r="FA76"/>
      <c r="FB76" s="1"/>
      <c r="FC76" s="1"/>
      <c r="FD76" s="1"/>
      <c r="FE76" s="1"/>
      <c r="FF76" s="1"/>
      <c r="FG76" s="1"/>
      <c r="FH76" s="268"/>
      <c r="FI76" s="268"/>
      <c r="FJ76" s="268"/>
      <c r="FK76" s="268"/>
      <c r="FL76" s="268"/>
      <c r="FM76" s="264"/>
      <c r="FN76" s="268"/>
      <c r="FO76" s="268"/>
      <c r="FP76" s="264"/>
      <c r="FQ76" s="268"/>
      <c r="FR76" s="268"/>
      <c r="FS76" s="268"/>
      <c r="FT76" s="268"/>
      <c r="FU76" s="268"/>
      <c r="FV76" s="268"/>
      <c r="FW76" s="268"/>
      <c r="FX76" s="268"/>
      <c r="FY76" s="268"/>
      <c r="FZ76" s="268"/>
      <c r="GA76" s="268"/>
      <c r="GB76" s="268"/>
      <c r="GC76" s="268"/>
      <c r="GD76" s="268"/>
      <c r="GE76" s="264"/>
      <c r="GF76" s="268">
        <f>1+1</f>
        <v>2</v>
      </c>
      <c r="GG76" s="268"/>
      <c r="GH76" s="268">
        <v>0</v>
      </c>
      <c r="GI76" s="268"/>
      <c r="GJ76" s="268"/>
      <c r="GK76" s="268"/>
      <c r="GL76" s="268"/>
      <c r="GM76" s="268"/>
      <c r="GN76" s="268">
        <v>0</v>
      </c>
      <c r="GO76" s="268"/>
      <c r="GP76" s="268"/>
      <c r="GQ76" s="268"/>
      <c r="GR76" s="268"/>
      <c r="GS76" s="268"/>
      <c r="GT76" s="268"/>
      <c r="GU76" s="268"/>
      <c r="GV76" s="268"/>
      <c r="GW76" s="268">
        <v>2</v>
      </c>
      <c r="GX76" s="268">
        <v>1</v>
      </c>
      <c r="GY76" s="268"/>
      <c r="GZ76" s="268"/>
      <c r="HA76" s="268"/>
      <c r="HB76" s="268"/>
      <c r="HC76" s="268"/>
      <c r="HD76" s="268"/>
      <c r="HE76" s="268"/>
      <c r="HF76" s="268"/>
      <c r="HG76" s="268"/>
      <c r="HH76" s="268"/>
      <c r="HI76" s="268"/>
      <c r="HJ76" s="268"/>
      <c r="HK76" s="268"/>
      <c r="HL76" s="268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268"/>
      <c r="JU76" s="268">
        <v>0</v>
      </c>
      <c r="JV76" s="268">
        <f>1+3</f>
        <v>4</v>
      </c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</row>
    <row r="77" spans="1:319" s="12" customFormat="1" ht="18" customHeight="1" x14ac:dyDescent="0.25">
      <c r="A77" s="14"/>
      <c r="B77" s="13" t="s">
        <v>166</v>
      </c>
      <c r="C77" s="1">
        <v>11545</v>
      </c>
      <c r="D77" s="1">
        <v>2014</v>
      </c>
      <c r="E77" s="4" t="s">
        <v>164</v>
      </c>
      <c r="F77" s="1">
        <v>5185</v>
      </c>
      <c r="G77" s="11" t="s">
        <v>434</v>
      </c>
      <c r="H77" s="4" t="s">
        <v>137</v>
      </c>
      <c r="I77" s="1">
        <f>SUM(K77:LG77)</f>
        <v>16</v>
      </c>
      <c r="J77" s="14">
        <f>I77</f>
        <v>16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>
        <v>4</v>
      </c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268">
        <f>3+6</f>
        <v>9</v>
      </c>
      <c r="KL77" s="268"/>
      <c r="KM77" s="268"/>
      <c r="KN77" s="268">
        <f>0+3</f>
        <v>3</v>
      </c>
      <c r="KO77" s="387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</row>
    <row r="78" spans="1:319" s="12" customFormat="1" ht="18" customHeight="1" x14ac:dyDescent="0.25">
      <c r="A78" s="14">
        <v>66</v>
      </c>
      <c r="B78" s="13" t="s">
        <v>440</v>
      </c>
      <c r="C78" s="1">
        <v>10474</v>
      </c>
      <c r="D78" s="1">
        <v>2011</v>
      </c>
      <c r="E78" s="4" t="s">
        <v>322</v>
      </c>
      <c r="F78" s="1">
        <v>7539</v>
      </c>
      <c r="G78" s="11" t="s">
        <v>432</v>
      </c>
      <c r="H78" s="4" t="s">
        <v>324</v>
      </c>
      <c r="I78" s="1">
        <f>SUM(K78:LG78)</f>
        <v>15.6</v>
      </c>
      <c r="J78" s="14">
        <f t="shared" ref="J78:J82" si="7">I78</f>
        <v>15.6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>
        <v>1.2</v>
      </c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/>
      <c r="DD78">
        <f>(0+3)*1.2</f>
        <v>3.5999999999999996</v>
      </c>
      <c r="DE78"/>
      <c r="DF78">
        <f>(0+4)*1.2</f>
        <v>4.8</v>
      </c>
      <c r="DG78"/>
      <c r="DH78">
        <f>(0+5)*1.2</f>
        <v>6</v>
      </c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</row>
    <row r="79" spans="1:319" s="12" customFormat="1" ht="18" customHeight="1" x14ac:dyDescent="0.25">
      <c r="A79" s="14">
        <v>67</v>
      </c>
      <c r="B79" s="13" t="s">
        <v>272</v>
      </c>
      <c r="C79" s="1">
        <v>11481</v>
      </c>
      <c r="D79" s="1"/>
      <c r="E79" t="s">
        <v>267</v>
      </c>
      <c r="F79" s="1">
        <v>5701</v>
      </c>
      <c r="G79" s="11" t="s">
        <v>436</v>
      </c>
      <c r="H79" t="s">
        <v>269</v>
      </c>
      <c r="I79" s="1">
        <f>SUM(K79:LG79)</f>
        <v>15</v>
      </c>
      <c r="J79" s="14">
        <f>I79</f>
        <v>15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/>
      <c r="DK79"/>
      <c r="DL79"/>
      <c r="DM79">
        <f>3+2</f>
        <v>5</v>
      </c>
      <c r="DN79"/>
      <c r="DO79"/>
      <c r="DP79"/>
      <c r="DQ79"/>
      <c r="DR79"/>
      <c r="DS79"/>
      <c r="DT79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264">
        <v>2</v>
      </c>
      <c r="FI79" s="268"/>
      <c r="FJ79" s="264">
        <f>4+2</f>
        <v>6</v>
      </c>
      <c r="FK79" s="268"/>
      <c r="FL79" s="268"/>
      <c r="FM79" s="264"/>
      <c r="FN79" s="268"/>
      <c r="FO79" s="268"/>
      <c r="FP79" s="264"/>
      <c r="FQ79" s="268"/>
      <c r="FR79" s="268"/>
      <c r="FS79" s="268"/>
      <c r="FT79" s="268"/>
      <c r="FU79" s="268"/>
      <c r="FV79" s="268"/>
      <c r="FW79" s="268"/>
      <c r="FX79" s="268"/>
      <c r="FY79" s="268"/>
      <c r="FZ79" s="268"/>
      <c r="GA79" s="268"/>
      <c r="GB79" s="268"/>
      <c r="GC79" s="268"/>
      <c r="GD79" s="268"/>
      <c r="GE79" s="264"/>
      <c r="GF79" s="268"/>
      <c r="GG79" s="268"/>
      <c r="GH79" s="268">
        <v>2</v>
      </c>
      <c r="GI79" s="268">
        <v>0</v>
      </c>
      <c r="GJ79" s="268"/>
      <c r="GK79" s="268"/>
      <c r="GL79" s="268"/>
      <c r="GM79" s="268"/>
      <c r="GN79" s="268"/>
      <c r="GO79" s="268"/>
      <c r="GP79" s="268"/>
      <c r="GQ79" s="268"/>
      <c r="GR79" s="268"/>
      <c r="GS79" s="268"/>
      <c r="GT79" s="268"/>
      <c r="GU79" s="268"/>
      <c r="GV79" s="268"/>
      <c r="GW79" s="268"/>
      <c r="GX79" s="268"/>
      <c r="GY79" s="268"/>
      <c r="GZ79" s="268"/>
      <c r="HA79" s="268"/>
      <c r="HB79" s="268"/>
      <c r="HC79" s="268"/>
      <c r="HD79" s="268"/>
      <c r="HE79" s="268"/>
      <c r="HF79" s="268"/>
      <c r="HG79" s="268"/>
      <c r="HH79" s="268"/>
      <c r="HI79" s="268"/>
      <c r="HJ79" s="268"/>
      <c r="HK79" s="268"/>
      <c r="HL79" s="268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</row>
    <row r="80" spans="1:319" s="12" customFormat="1" ht="18" customHeight="1" x14ac:dyDescent="0.25">
      <c r="A80" s="14">
        <v>68</v>
      </c>
      <c r="B80" s="13" t="s">
        <v>394</v>
      </c>
      <c r="C80" s="1">
        <v>10251</v>
      </c>
      <c r="D80" s="1">
        <v>2010</v>
      </c>
      <c r="E80" t="s">
        <v>393</v>
      </c>
      <c r="F80" s="1">
        <v>8039</v>
      </c>
      <c r="G80" s="1" t="s">
        <v>437</v>
      </c>
      <c r="H80" t="s">
        <v>206</v>
      </c>
      <c r="I80" s="1">
        <f>SUM(K80:LG80)</f>
        <v>14</v>
      </c>
      <c r="J80" s="14">
        <f>I80</f>
        <v>14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>
        <v>3</v>
      </c>
      <c r="CM80" s="1"/>
      <c r="CN80" s="1">
        <v>0</v>
      </c>
      <c r="CO80" s="1"/>
      <c r="CP80" s="1"/>
      <c r="CQ80" s="1"/>
      <c r="CR80" s="1">
        <v>0</v>
      </c>
      <c r="CS80" s="1"/>
      <c r="CT80" s="1">
        <v>0</v>
      </c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>
        <v>3</v>
      </c>
      <c r="JJ80" s="1">
        <v>0</v>
      </c>
      <c r="JK80" s="1"/>
      <c r="JL80" s="1"/>
      <c r="JM80" s="1"/>
      <c r="JN80" s="1"/>
      <c r="JO80" s="1">
        <v>1</v>
      </c>
      <c r="JP80" s="1">
        <v>2</v>
      </c>
      <c r="JQ80" s="1"/>
      <c r="JR80" s="1"/>
      <c r="JS80" s="1"/>
      <c r="JT80" s="1"/>
      <c r="JU80" s="1">
        <v>0</v>
      </c>
      <c r="JV80" s="1"/>
      <c r="JW80" s="1">
        <v>5</v>
      </c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</row>
    <row r="81" spans="1:319" s="12" customFormat="1" ht="18" customHeight="1" x14ac:dyDescent="0.25">
      <c r="A81" s="14">
        <v>69</v>
      </c>
      <c r="B81" s="13" t="s">
        <v>465</v>
      </c>
      <c r="C81" s="1">
        <v>9270</v>
      </c>
      <c r="D81" s="1"/>
      <c r="E81" s="4" t="s">
        <v>267</v>
      </c>
      <c r="F81" s="1">
        <v>5701</v>
      </c>
      <c r="G81" s="11" t="s">
        <v>436</v>
      </c>
      <c r="H81" s="4" t="s">
        <v>269</v>
      </c>
      <c r="I81" s="1">
        <f>SUM(K81:LG81)</f>
        <v>12</v>
      </c>
      <c r="J81" s="14">
        <f t="shared" si="7"/>
        <v>12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268"/>
      <c r="KD81" s="268">
        <f>1+6</f>
        <v>7</v>
      </c>
      <c r="KE81" s="268"/>
      <c r="KF81" s="268"/>
      <c r="KG81" s="268"/>
      <c r="KH81" s="268"/>
      <c r="KI81" s="268">
        <f>2+3</f>
        <v>5</v>
      </c>
      <c r="KJ81" s="1"/>
      <c r="KK81" s="274"/>
      <c r="KL81" s="274"/>
      <c r="KM81" s="274"/>
      <c r="KN81" s="274"/>
      <c r="KO81" s="389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</row>
    <row r="82" spans="1:319" s="12" customFormat="1" ht="18" customHeight="1" x14ac:dyDescent="0.25">
      <c r="A82" s="14">
        <v>70</v>
      </c>
      <c r="B82" s="13" t="s">
        <v>442</v>
      </c>
      <c r="C82" s="1">
        <v>9147</v>
      </c>
      <c r="D82" s="1">
        <v>2009</v>
      </c>
      <c r="E82" s="4" t="s">
        <v>320</v>
      </c>
      <c r="F82" s="1">
        <v>7668</v>
      </c>
      <c r="G82" s="11" t="s">
        <v>432</v>
      </c>
      <c r="H82" s="4" t="s">
        <v>218</v>
      </c>
      <c r="I82" s="1">
        <f>SUM(K82:LG82)</f>
        <v>11</v>
      </c>
      <c r="J82" s="14">
        <f t="shared" si="7"/>
        <v>11</v>
      </c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>
        <v>2</v>
      </c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>
        <v>0</v>
      </c>
      <c r="BA82" s="1"/>
      <c r="BB82" s="1">
        <v>5</v>
      </c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/>
      <c r="EC82"/>
      <c r="ED82"/>
      <c r="EE82">
        <v>1</v>
      </c>
      <c r="EF82"/>
      <c r="EG82">
        <v>3</v>
      </c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268"/>
      <c r="KD82" s="268"/>
      <c r="KE82" s="268">
        <v>0</v>
      </c>
      <c r="KF82" s="268"/>
      <c r="KG82" s="268"/>
      <c r="KH82" s="268"/>
      <c r="KI82" s="268">
        <v>0</v>
      </c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</row>
    <row r="83" spans="1:319" s="12" customFormat="1" ht="18" customHeight="1" x14ac:dyDescent="0.25">
      <c r="A83" s="14"/>
      <c r="B83" s="13" t="s">
        <v>199</v>
      </c>
      <c r="C83" s="1">
        <v>9909</v>
      </c>
      <c r="D83" s="1">
        <v>2013</v>
      </c>
      <c r="E83" t="s">
        <v>198</v>
      </c>
      <c r="F83" s="1">
        <v>5794</v>
      </c>
      <c r="G83" s="1" t="s">
        <v>434</v>
      </c>
      <c r="H83" t="s">
        <v>200</v>
      </c>
      <c r="I83" s="1">
        <f>SUM(K83:LG83)</f>
        <v>11</v>
      </c>
      <c r="J83" s="14">
        <f>I83</f>
        <v>11</v>
      </c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/>
      <c r="DK83"/>
      <c r="DL83"/>
      <c r="DM83">
        <v>0</v>
      </c>
      <c r="DN83">
        <v>1</v>
      </c>
      <c r="DO83"/>
      <c r="DP83"/>
      <c r="DQ83"/>
      <c r="DR83"/>
      <c r="DS83"/>
      <c r="DT83"/>
      <c r="DU83">
        <v>2</v>
      </c>
      <c r="DV83">
        <v>0</v>
      </c>
      <c r="DW83"/>
      <c r="DX83"/>
      <c r="DY83"/>
      <c r="DZ83"/>
      <c r="EA83"/>
      <c r="EB83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/>
      <c r="ES83"/>
      <c r="ET83"/>
      <c r="EU83">
        <v>0</v>
      </c>
      <c r="EV83">
        <v>0</v>
      </c>
      <c r="EW83"/>
      <c r="EX83"/>
      <c r="EY83"/>
      <c r="EZ83"/>
      <c r="FA83"/>
      <c r="FB83"/>
      <c r="FC83">
        <v>0</v>
      </c>
      <c r="FD83">
        <f>1+0</f>
        <v>1</v>
      </c>
      <c r="FE83"/>
      <c r="FF83"/>
      <c r="FG83"/>
      <c r="FH83"/>
      <c r="FI83"/>
      <c r="FJ83">
        <v>2</v>
      </c>
      <c r="FK83">
        <v>5</v>
      </c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</row>
    <row r="84" spans="1:319" s="12" customFormat="1" ht="18" customHeight="1" x14ac:dyDescent="0.25">
      <c r="A84" s="14">
        <v>72</v>
      </c>
      <c r="B84" s="13" t="s">
        <v>202</v>
      </c>
      <c r="C84" s="1">
        <v>9915</v>
      </c>
      <c r="D84" s="1"/>
      <c r="E84" s="4" t="s">
        <v>201</v>
      </c>
      <c r="F84" s="1">
        <v>2964</v>
      </c>
      <c r="G84" s="11" t="s">
        <v>434</v>
      </c>
      <c r="H84" s="4" t="s">
        <v>203</v>
      </c>
      <c r="I84" s="1">
        <f>SUM(K84:LG84)</f>
        <v>10</v>
      </c>
      <c r="J84" s="14">
        <f>I84</f>
        <v>10</v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/>
      <c r="DK84"/>
      <c r="DL84"/>
      <c r="DM84">
        <v>0</v>
      </c>
      <c r="DN84"/>
      <c r="DO84"/>
      <c r="DP84"/>
      <c r="DQ84"/>
      <c r="DR84"/>
      <c r="DS84"/>
      <c r="DT84"/>
      <c r="DU84">
        <v>1</v>
      </c>
      <c r="DV84"/>
      <c r="DW84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268"/>
      <c r="FI84" s="268"/>
      <c r="FJ84" s="268"/>
      <c r="FK84" s="268"/>
      <c r="FL84" s="268"/>
      <c r="FM84" s="264"/>
      <c r="FN84" s="268"/>
      <c r="FO84" s="268"/>
      <c r="FP84" s="264"/>
      <c r="FQ84" s="268"/>
      <c r="FR84" s="268"/>
      <c r="FS84" s="268"/>
      <c r="FT84" s="268"/>
      <c r="FU84" s="268"/>
      <c r="FV84" s="268"/>
      <c r="FW84" s="268"/>
      <c r="FX84" s="268"/>
      <c r="FY84" s="268"/>
      <c r="FZ84" s="268"/>
      <c r="GA84" s="268"/>
      <c r="GB84" s="268"/>
      <c r="GC84" s="268"/>
      <c r="GD84" s="268"/>
      <c r="GE84" s="264"/>
      <c r="GF84" s="268"/>
      <c r="GG84" s="268"/>
      <c r="GH84" s="268">
        <f>2</f>
        <v>2</v>
      </c>
      <c r="GI84" s="268"/>
      <c r="GJ84" s="268"/>
      <c r="GK84" s="268"/>
      <c r="GL84" s="268"/>
      <c r="GM84" s="268"/>
      <c r="GN84" s="268"/>
      <c r="GO84" s="268">
        <v>0</v>
      </c>
      <c r="GP84" s="268"/>
      <c r="GQ84" s="268"/>
      <c r="GR84" s="268"/>
      <c r="GS84" s="268"/>
      <c r="GT84" s="268"/>
      <c r="GU84" s="268"/>
      <c r="GV84" s="268"/>
      <c r="GW84" s="268"/>
      <c r="GX84" s="268">
        <f>3+4</f>
        <v>7</v>
      </c>
      <c r="GY84" s="268"/>
      <c r="GZ84" s="268"/>
      <c r="HA84" s="268"/>
      <c r="HB84" s="268"/>
      <c r="HC84" s="268"/>
      <c r="HD84" s="268"/>
      <c r="HE84" s="268"/>
      <c r="HF84" s="268"/>
      <c r="HG84" s="268"/>
      <c r="HH84" s="268"/>
      <c r="HI84" s="268"/>
      <c r="HJ84" s="268"/>
      <c r="HK84" s="268"/>
      <c r="HL84" s="268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</row>
    <row r="85" spans="1:319" s="12" customFormat="1" ht="18" customHeight="1" x14ac:dyDescent="0.25">
      <c r="A85" s="14"/>
      <c r="B85" s="63" t="s">
        <v>234</v>
      </c>
      <c r="C85" s="1">
        <v>10553</v>
      </c>
      <c r="D85" s="1">
        <v>2014</v>
      </c>
      <c r="E85" t="s">
        <v>233</v>
      </c>
      <c r="F85" s="1">
        <v>2362</v>
      </c>
      <c r="G85" s="1" t="s">
        <v>434</v>
      </c>
      <c r="H85" t="s">
        <v>235</v>
      </c>
      <c r="I85" s="1">
        <f>SUM(K85:LG85)</f>
        <v>10</v>
      </c>
      <c r="J85" s="14">
        <f>I85</f>
        <v>10</v>
      </c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>
        <v>2</v>
      </c>
      <c r="JX85" s="1"/>
      <c r="JY85" s="1"/>
      <c r="JZ85" s="1"/>
      <c r="KA85" s="1"/>
      <c r="KB85" s="1"/>
      <c r="KC85" s="268"/>
      <c r="KD85" s="268"/>
      <c r="KE85" s="268">
        <f>3+3</f>
        <v>6</v>
      </c>
      <c r="KF85" s="268"/>
      <c r="KG85" s="268"/>
      <c r="KH85" s="268"/>
      <c r="KI85" s="268">
        <f>0+2</f>
        <v>2</v>
      </c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</row>
    <row r="86" spans="1:319" ht="18" customHeight="1" x14ac:dyDescent="0.25">
      <c r="A86" s="14">
        <v>74</v>
      </c>
      <c r="B86" s="13" t="s">
        <v>281</v>
      </c>
      <c r="C86" s="1">
        <v>11639</v>
      </c>
      <c r="D86" s="1">
        <v>2016</v>
      </c>
      <c r="E86" s="273" t="s">
        <v>280</v>
      </c>
      <c r="F86" s="1">
        <v>7779</v>
      </c>
      <c r="G86" s="11" t="s">
        <v>436</v>
      </c>
      <c r="H86" s="4" t="s">
        <v>206</v>
      </c>
      <c r="I86" s="1">
        <f>SUM(K86:LG86)</f>
        <v>9</v>
      </c>
      <c r="J86" s="14">
        <f>I86</f>
        <v>9</v>
      </c>
      <c r="IJ86" s="274"/>
      <c r="IK86" s="274"/>
      <c r="IL86" s="274"/>
      <c r="IM86" s="274"/>
      <c r="IN86" s="274"/>
      <c r="IO86" s="274"/>
      <c r="IP86" s="274"/>
      <c r="IQ86" s="274"/>
      <c r="IR86" s="274"/>
      <c r="IS86" s="274"/>
      <c r="IT86" s="274"/>
      <c r="JS86" s="274"/>
      <c r="JT86" s="274"/>
      <c r="JU86" s="274"/>
      <c r="JV86" s="274">
        <f>2+7</f>
        <v>9</v>
      </c>
      <c r="JW86" s="274"/>
    </row>
    <row r="87" spans="1:319" ht="18" customHeight="1" x14ac:dyDescent="0.25">
      <c r="B87" s="13" t="s">
        <v>466</v>
      </c>
      <c r="D87" s="1"/>
      <c r="E87" s="273" t="s">
        <v>303</v>
      </c>
      <c r="F87" s="1">
        <v>7365</v>
      </c>
      <c r="G87" s="11" t="s">
        <v>432</v>
      </c>
      <c r="H87" s="4" t="s">
        <v>197</v>
      </c>
      <c r="I87" s="1">
        <f>SUM(K87:LG87)</f>
        <v>9</v>
      </c>
      <c r="J87" s="14">
        <f>I87</f>
        <v>9</v>
      </c>
      <c r="IJ87" s="274"/>
      <c r="IK87" s="274"/>
      <c r="IL87" s="274"/>
      <c r="IM87" s="274"/>
      <c r="IN87" s="274"/>
      <c r="IO87" s="274"/>
      <c r="IP87" s="274"/>
      <c r="IQ87" s="274"/>
      <c r="IR87" s="274"/>
      <c r="IS87" s="274"/>
      <c r="IT87" s="274"/>
      <c r="JS87" s="274"/>
      <c r="JT87" s="274"/>
      <c r="JU87" s="274"/>
      <c r="JV87" s="274"/>
      <c r="JW87" s="274"/>
      <c r="KP87" s="268">
        <f>1+3</f>
        <v>4</v>
      </c>
      <c r="KQ87" s="268">
        <f>1+4</f>
        <v>5</v>
      </c>
    </row>
    <row r="88" spans="1:319" s="12" customFormat="1" ht="18" customHeight="1" x14ac:dyDescent="0.25">
      <c r="A88" s="14"/>
      <c r="B88" s="13" t="s">
        <v>390</v>
      </c>
      <c r="C88" s="1">
        <v>10175</v>
      </c>
      <c r="D88" s="1">
        <v>2004</v>
      </c>
      <c r="E88" t="s">
        <v>388</v>
      </c>
      <c r="F88" s="1">
        <v>7853</v>
      </c>
      <c r="G88" s="11" t="s">
        <v>437</v>
      </c>
      <c r="H88" s="4" t="s">
        <v>146</v>
      </c>
      <c r="I88" s="1">
        <f>SUM(K88:LG88)</f>
        <v>9</v>
      </c>
      <c r="J88" s="14">
        <f>I88</f>
        <v>9</v>
      </c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268"/>
      <c r="JU88" s="268">
        <v>0</v>
      </c>
      <c r="JV88" s="268"/>
      <c r="JW88" s="268">
        <v>0</v>
      </c>
      <c r="JX88" s="1"/>
      <c r="JY88" s="1"/>
      <c r="JZ88" s="1"/>
      <c r="KA88" s="1"/>
      <c r="KB88" s="1"/>
      <c r="KC88" s="268"/>
      <c r="KD88" s="268">
        <f>0+5</f>
        <v>5</v>
      </c>
      <c r="KE88" s="268">
        <f>2+2</f>
        <v>4</v>
      </c>
      <c r="KF88" s="268"/>
      <c r="KG88" s="268"/>
      <c r="KH88" s="268"/>
      <c r="KI88" s="268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</row>
    <row r="89" spans="1:319" s="12" customFormat="1" ht="18" customHeight="1" x14ac:dyDescent="0.25">
      <c r="A89" s="14"/>
      <c r="B89" s="13" t="s">
        <v>279</v>
      </c>
      <c r="C89" s="1">
        <v>10639</v>
      </c>
      <c r="D89" s="1"/>
      <c r="E89" t="s">
        <v>278</v>
      </c>
      <c r="F89" s="1">
        <v>7089</v>
      </c>
      <c r="G89" s="11" t="s">
        <v>436</v>
      </c>
      <c r="H89" t="s">
        <v>232</v>
      </c>
      <c r="I89" s="1">
        <f>SUM(K89:LG89)</f>
        <v>9</v>
      </c>
      <c r="J89" s="14">
        <f>I89</f>
        <v>9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268"/>
      <c r="FI89" s="264">
        <v>2</v>
      </c>
      <c r="FJ89" s="264">
        <v>1</v>
      </c>
      <c r="FK89" s="268"/>
      <c r="FL89" s="268"/>
      <c r="FM89" s="264"/>
      <c r="FN89" s="268"/>
      <c r="FO89" s="268"/>
      <c r="FP89" s="264"/>
      <c r="FQ89" s="268"/>
      <c r="FR89" s="268"/>
      <c r="FS89" s="268"/>
      <c r="FT89" s="268"/>
      <c r="FU89" s="268"/>
      <c r="FV89" s="268"/>
      <c r="FW89" s="268"/>
      <c r="FX89" s="268"/>
      <c r="FY89" s="268"/>
      <c r="FZ89" s="268"/>
      <c r="GA89" s="268"/>
      <c r="GB89" s="268"/>
      <c r="GC89" s="268"/>
      <c r="GD89" s="268"/>
      <c r="GE89" s="264"/>
      <c r="GF89" s="268"/>
      <c r="GG89" s="268"/>
      <c r="GH89" s="268"/>
      <c r="GI89" s="268"/>
      <c r="GJ89" s="268"/>
      <c r="GK89" s="268"/>
      <c r="GL89" s="268"/>
      <c r="GM89" s="268"/>
      <c r="GN89" s="268"/>
      <c r="GO89" s="268"/>
      <c r="GP89" s="268"/>
      <c r="GQ89" s="268"/>
      <c r="GR89" s="268"/>
      <c r="GS89" s="268"/>
      <c r="GT89" s="268"/>
      <c r="GU89" s="268"/>
      <c r="GV89" s="268"/>
      <c r="GW89" s="268"/>
      <c r="GX89" s="268"/>
      <c r="GY89" s="268"/>
      <c r="GZ89" s="268"/>
      <c r="HA89" s="268"/>
      <c r="HB89" s="268"/>
      <c r="HC89" s="268"/>
      <c r="HD89" s="268"/>
      <c r="HE89" s="268"/>
      <c r="HF89" s="268"/>
      <c r="HG89" s="268"/>
      <c r="HH89" s="268">
        <v>3</v>
      </c>
      <c r="HI89" s="268">
        <v>3</v>
      </c>
      <c r="HJ89" s="268"/>
      <c r="HK89" s="268"/>
      <c r="HL89" s="268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</row>
    <row r="90" spans="1:319" s="12" customFormat="1" ht="18" customHeight="1" x14ac:dyDescent="0.3">
      <c r="A90" s="14"/>
      <c r="B90" s="13" t="s">
        <v>443</v>
      </c>
      <c r="C90" s="1">
        <v>8743</v>
      </c>
      <c r="D90" s="1">
        <v>2008</v>
      </c>
      <c r="E90" t="s">
        <v>225</v>
      </c>
      <c r="F90" s="1">
        <v>5439</v>
      </c>
      <c r="G90" s="1" t="s">
        <v>434</v>
      </c>
      <c r="H90" s="4" t="s">
        <v>227</v>
      </c>
      <c r="I90" s="1">
        <f>SUM(K90:LG90)</f>
        <v>9</v>
      </c>
      <c r="J90" s="14">
        <f>I90</f>
        <v>9</v>
      </c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/>
      <c r="FI90"/>
      <c r="FJ90" s="267">
        <v>0</v>
      </c>
      <c r="FK90" s="267">
        <v>3</v>
      </c>
      <c r="FL90"/>
      <c r="FM90" s="266"/>
      <c r="FN90"/>
      <c r="FO90"/>
      <c r="FP90" s="266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 s="266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>
        <v>3</v>
      </c>
      <c r="HK90">
        <v>3</v>
      </c>
      <c r="HL90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</row>
    <row r="91" spans="1:319" s="12" customFormat="1" ht="18" customHeight="1" x14ac:dyDescent="0.25">
      <c r="A91" s="14">
        <v>79</v>
      </c>
      <c r="B91" s="13" t="s">
        <v>399</v>
      </c>
      <c r="C91" s="1">
        <v>9547</v>
      </c>
      <c r="D91" s="1">
        <v>2010</v>
      </c>
      <c r="E91" t="s">
        <v>398</v>
      </c>
      <c r="F91" s="1">
        <v>8604</v>
      </c>
      <c r="G91" s="1" t="s">
        <v>437</v>
      </c>
      <c r="H91" t="s">
        <v>137</v>
      </c>
      <c r="I91" s="1">
        <f>SUM(K91:LG91)</f>
        <v>8</v>
      </c>
      <c r="J91" s="14">
        <f t="shared" ref="J91:J99" si="8">I91</f>
        <v>8</v>
      </c>
      <c r="K91" s="1">
        <v>0</v>
      </c>
      <c r="L91" s="1">
        <v>2</v>
      </c>
      <c r="M91" s="1"/>
      <c r="N91" s="1"/>
      <c r="O91" s="1"/>
      <c r="P91" s="1"/>
      <c r="Q91" s="1"/>
      <c r="R91" s="1">
        <v>0</v>
      </c>
      <c r="S91" s="1">
        <v>0</v>
      </c>
      <c r="T91" s="1"/>
      <c r="U91" s="1"/>
      <c r="V91" s="1"/>
      <c r="W91" s="1"/>
      <c r="X91" s="1"/>
      <c r="Y91" s="1">
        <v>0</v>
      </c>
      <c r="Z91" s="1"/>
      <c r="AA91" s="1"/>
      <c r="AB91" s="1"/>
      <c r="AC91" s="1"/>
      <c r="AD91" s="1">
        <v>0</v>
      </c>
      <c r="AE91" s="1"/>
      <c r="AF91" s="1"/>
      <c r="AG91" s="1"/>
      <c r="AH91" s="1">
        <v>2</v>
      </c>
      <c r="AI91" s="1">
        <v>0</v>
      </c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>
        <v>0</v>
      </c>
      <c r="AX91" s="1">
        <v>4</v>
      </c>
      <c r="AY91" s="1"/>
      <c r="AZ91" s="1"/>
      <c r="BA91" s="1"/>
      <c r="BB91" s="1"/>
      <c r="BC91" s="1"/>
      <c r="BD91" s="1"/>
      <c r="BE91" s="1">
        <v>0</v>
      </c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</row>
    <row r="92" spans="1:319" s="12" customFormat="1" ht="18" customHeight="1" x14ac:dyDescent="0.25">
      <c r="A92" s="14"/>
      <c r="B92" s="64" t="s">
        <v>139</v>
      </c>
      <c r="C92" s="1">
        <v>10194</v>
      </c>
      <c r="D92" s="1">
        <v>2014</v>
      </c>
      <c r="E92" t="s">
        <v>308</v>
      </c>
      <c r="F92" s="1">
        <v>6761</v>
      </c>
      <c r="G92" s="11" t="s">
        <v>432</v>
      </c>
      <c r="H92" t="s">
        <v>137</v>
      </c>
      <c r="I92" s="1">
        <f>SUM(K92:LG92)</f>
        <v>3</v>
      </c>
      <c r="J92" s="14">
        <f>SUM(I92:I93)</f>
        <v>8</v>
      </c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/>
      <c r="EC92"/>
      <c r="ED92"/>
      <c r="EE92">
        <v>2</v>
      </c>
      <c r="EF92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268"/>
      <c r="IL92" s="268"/>
      <c r="IM92" s="268"/>
      <c r="IN92" s="268">
        <v>1</v>
      </c>
      <c r="IO92" s="268">
        <v>0</v>
      </c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</row>
    <row r="93" spans="1:319" s="12" customFormat="1" ht="18" customHeight="1" x14ac:dyDescent="0.25">
      <c r="A93" s="14"/>
      <c r="B93" s="64"/>
      <c r="C93" s="1"/>
      <c r="D93" s="1"/>
      <c r="E93" t="s">
        <v>134</v>
      </c>
      <c r="F93" s="1" t="s">
        <v>135</v>
      </c>
      <c r="G93" s="11" t="s">
        <v>434</v>
      </c>
      <c r="H93"/>
      <c r="I93" s="1">
        <f>SUM(K93:LG93)</f>
        <v>5</v>
      </c>
      <c r="J93" s="66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>
        <v>5</v>
      </c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1" t="s">
        <v>1</v>
      </c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</row>
    <row r="94" spans="1:319" s="12" customFormat="1" ht="18" customHeight="1" x14ac:dyDescent="0.25">
      <c r="A94" s="14"/>
      <c r="B94" s="13" t="s">
        <v>240</v>
      </c>
      <c r="C94" s="1">
        <v>7253</v>
      </c>
      <c r="D94" s="1"/>
      <c r="E94" s="4" t="s">
        <v>239</v>
      </c>
      <c r="F94" s="1">
        <v>2857</v>
      </c>
      <c r="G94" s="11" t="s">
        <v>434</v>
      </c>
      <c r="H94" s="4" t="s">
        <v>241</v>
      </c>
      <c r="I94" s="1">
        <f>SUM(K94:LG94)</f>
        <v>8</v>
      </c>
      <c r="J94" s="14">
        <f>I94</f>
        <v>8</v>
      </c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>
        <v>0</v>
      </c>
      <c r="BA94" s="1"/>
      <c r="BB94" s="1"/>
      <c r="BC94" s="1"/>
      <c r="BD94" s="1"/>
      <c r="BE94" s="1"/>
      <c r="BF94" s="1"/>
      <c r="BG94" s="1">
        <v>0</v>
      </c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>
        <v>4</v>
      </c>
      <c r="KG94" s="1"/>
      <c r="KH94" s="1"/>
      <c r="KI94" s="1"/>
      <c r="KJ94" s="1">
        <v>4</v>
      </c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</row>
    <row r="95" spans="1:319" s="12" customFormat="1" ht="18" customHeight="1" x14ac:dyDescent="0.25">
      <c r="A95" s="14">
        <v>82</v>
      </c>
      <c r="B95" s="13" t="s">
        <v>217</v>
      </c>
      <c r="C95" s="1">
        <v>11123</v>
      </c>
      <c r="D95" s="1">
        <v>2015</v>
      </c>
      <c r="E95" s="4" t="s">
        <v>216</v>
      </c>
      <c r="F95" s="1">
        <v>8648</v>
      </c>
      <c r="G95" s="11" t="s">
        <v>434</v>
      </c>
      <c r="H95" s="4" t="s">
        <v>218</v>
      </c>
      <c r="I95" s="1">
        <f>SUM(K95:LG95)</f>
        <v>7</v>
      </c>
      <c r="J95" s="14">
        <f>I95</f>
        <v>7</v>
      </c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>
        <f>2+2</f>
        <v>4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268"/>
      <c r="KD95" s="268"/>
      <c r="KE95" s="268"/>
      <c r="KF95" s="268"/>
      <c r="KG95" s="268"/>
      <c r="KH95" s="268">
        <f>0+3</f>
        <v>3</v>
      </c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</row>
    <row r="96" spans="1:319" s="12" customFormat="1" ht="18" customHeight="1" x14ac:dyDescent="0.25">
      <c r="A96" s="14"/>
      <c r="B96" s="13" t="s">
        <v>185</v>
      </c>
      <c r="C96" s="1">
        <v>10989</v>
      </c>
      <c r="D96" s="1">
        <v>2015</v>
      </c>
      <c r="E96" t="s">
        <v>183</v>
      </c>
      <c r="F96" s="1">
        <v>7998</v>
      </c>
      <c r="G96" s="11" t="s">
        <v>434</v>
      </c>
      <c r="H96" s="4" t="s">
        <v>137</v>
      </c>
      <c r="I96" s="1">
        <f>SUM(K96:LG96)</f>
        <v>7</v>
      </c>
      <c r="J96" s="14">
        <f>Tabuľka3[[#This Row],[Stĺpec9]]</f>
        <v>7</v>
      </c>
      <c r="K96" s="1"/>
      <c r="L96" s="1"/>
      <c r="M96" s="1">
        <v>1</v>
      </c>
      <c r="N96" s="1"/>
      <c r="O96" s="1">
        <v>0</v>
      </c>
      <c r="P96" s="1"/>
      <c r="Q96" s="1"/>
      <c r="R96" s="1"/>
      <c r="S96" s="1"/>
      <c r="T96" s="1">
        <v>3</v>
      </c>
      <c r="U96" s="1"/>
      <c r="V96" s="1">
        <v>1</v>
      </c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>
        <f>1+1</f>
        <v>2</v>
      </c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</row>
    <row r="97" spans="1:319" s="12" customFormat="1" ht="18" customHeight="1" x14ac:dyDescent="0.25">
      <c r="A97" s="14"/>
      <c r="B97" s="13" t="s">
        <v>384</v>
      </c>
      <c r="C97" s="1">
        <v>11205</v>
      </c>
      <c r="D97" s="1">
        <v>2012</v>
      </c>
      <c r="E97" t="s">
        <v>469</v>
      </c>
      <c r="F97" s="1">
        <v>8366</v>
      </c>
      <c r="G97" s="11" t="s">
        <v>432</v>
      </c>
      <c r="H97" s="4" t="s">
        <v>218</v>
      </c>
      <c r="I97" s="1">
        <f>SUM(K97:LG97)</f>
        <v>2</v>
      </c>
      <c r="J97" s="14">
        <f>SUM(I97:I98)</f>
        <v>7</v>
      </c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268"/>
      <c r="KD97" s="268"/>
      <c r="KE97" s="268"/>
      <c r="KF97" s="268"/>
      <c r="KG97" s="268"/>
      <c r="KH97" s="268">
        <f>0+2</f>
        <v>2</v>
      </c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</row>
    <row r="98" spans="1:319" s="12" customFormat="1" ht="18" customHeight="1" x14ac:dyDescent="0.25">
      <c r="A98" s="14"/>
      <c r="B98" s="13"/>
      <c r="C98" s="1"/>
      <c r="D98" s="1"/>
      <c r="E98" t="s">
        <v>470</v>
      </c>
      <c r="F98" s="1">
        <v>8837</v>
      </c>
      <c r="G98" s="11"/>
      <c r="H98" s="4"/>
      <c r="I98" s="1">
        <f>SUM(K98:LG98)</f>
        <v>5</v>
      </c>
      <c r="J98" s="66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268"/>
      <c r="KD98" s="268">
        <v>5</v>
      </c>
      <c r="KE98" s="274"/>
      <c r="KF98" s="274"/>
      <c r="KG98" s="274"/>
      <c r="KH98" s="274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</row>
    <row r="99" spans="1:319" s="12" customFormat="1" ht="18" customHeight="1" x14ac:dyDescent="0.25">
      <c r="A99" s="14"/>
      <c r="B99" s="63" t="s">
        <v>444</v>
      </c>
      <c r="C99" s="1">
        <v>7701</v>
      </c>
      <c r="D99" s="1">
        <v>2007</v>
      </c>
      <c r="E99" t="s">
        <v>325</v>
      </c>
      <c r="F99" s="1">
        <v>8828</v>
      </c>
      <c r="G99" s="11" t="s">
        <v>432</v>
      </c>
      <c r="H99" s="4" t="s">
        <v>137</v>
      </c>
      <c r="I99" s="1">
        <f>SUM(K99:LG99)</f>
        <v>7</v>
      </c>
      <c r="J99" s="14">
        <f t="shared" si="8"/>
        <v>7</v>
      </c>
      <c r="K99" s="1"/>
      <c r="L99" s="1"/>
      <c r="M99" s="1"/>
      <c r="N99" s="1"/>
      <c r="O99" s="1">
        <v>2</v>
      </c>
      <c r="P99" s="1"/>
      <c r="Q99" s="1"/>
      <c r="R99" s="1"/>
      <c r="S99" s="1"/>
      <c r="T99" s="1"/>
      <c r="U99" s="1"/>
      <c r="V99" s="1">
        <v>2</v>
      </c>
      <c r="W99" s="1"/>
      <c r="X99" s="1"/>
      <c r="Y99" s="1"/>
      <c r="Z99" s="1"/>
      <c r="AA99" s="1"/>
      <c r="AB99" s="1">
        <v>2</v>
      </c>
      <c r="AC99" s="1"/>
      <c r="AD99" s="1"/>
      <c r="AE99" s="1"/>
      <c r="AF99" s="1"/>
      <c r="AG99" s="1"/>
      <c r="AH99" s="1"/>
      <c r="AI99" s="1"/>
      <c r="AJ99" s="1"/>
      <c r="AK99" s="1"/>
      <c r="AL99" s="1">
        <v>1</v>
      </c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</row>
    <row r="100" spans="1:319" s="12" customFormat="1" ht="18" customHeight="1" x14ac:dyDescent="0.25">
      <c r="A100" s="14">
        <v>86</v>
      </c>
      <c r="B100" s="13" t="s">
        <v>403</v>
      </c>
      <c r="C100" s="1">
        <v>9925</v>
      </c>
      <c r="D100" s="1"/>
      <c r="E100" s="4" t="s">
        <v>402</v>
      </c>
      <c r="F100" s="1">
        <v>8401</v>
      </c>
      <c r="G100" s="11" t="s">
        <v>437</v>
      </c>
      <c r="H100" s="4" t="s">
        <v>404</v>
      </c>
      <c r="I100" s="1">
        <f>SUM(K100:LG100)</f>
        <v>6</v>
      </c>
      <c r="J100" s="14">
        <f>I100</f>
        <v>6</v>
      </c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>
        <v>0</v>
      </c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/>
      <c r="EC100"/>
      <c r="ED100"/>
      <c r="EE100">
        <v>3</v>
      </c>
      <c r="EF100">
        <v>3</v>
      </c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268"/>
      <c r="JI100" s="268">
        <v>0</v>
      </c>
      <c r="JJ100" s="268"/>
      <c r="JK100" s="268"/>
      <c r="JL100" s="268"/>
      <c r="JM100" s="268"/>
      <c r="JN100" s="268"/>
      <c r="JO100" s="268">
        <v>0</v>
      </c>
      <c r="JP100" s="268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</row>
    <row r="101" spans="1:319" s="12" customFormat="1" ht="18" customHeight="1" x14ac:dyDescent="0.25">
      <c r="A101" s="14"/>
      <c r="B101" s="13" t="s">
        <v>329</v>
      </c>
      <c r="C101" s="1">
        <v>10096</v>
      </c>
      <c r="D101" s="1"/>
      <c r="E101" t="s">
        <v>328</v>
      </c>
      <c r="F101" s="1">
        <v>7931</v>
      </c>
      <c r="G101" s="1" t="s">
        <v>437</v>
      </c>
      <c r="H101" t="s">
        <v>426</v>
      </c>
      <c r="I101" s="1">
        <f>SUM(K101:LG101)</f>
        <v>6</v>
      </c>
      <c r="J101" s="14">
        <f>I101</f>
        <v>6</v>
      </c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>
        <v>0</v>
      </c>
      <c r="BA101" s="1">
        <v>0</v>
      </c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/>
      <c r="DK101"/>
      <c r="DL101"/>
      <c r="DM101">
        <v>0</v>
      </c>
      <c r="DN101">
        <v>0</v>
      </c>
      <c r="DO101"/>
      <c r="DP101"/>
      <c r="DQ101"/>
      <c r="DR101"/>
      <c r="DS101"/>
      <c r="DT101"/>
      <c r="DU101">
        <v>0</v>
      </c>
      <c r="DV101">
        <v>0</v>
      </c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>
        <v>0</v>
      </c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268"/>
      <c r="FI101" s="268"/>
      <c r="FJ101" s="264">
        <v>0</v>
      </c>
      <c r="FK101" s="264">
        <v>1</v>
      </c>
      <c r="FL101" s="268"/>
      <c r="FM101" s="264"/>
      <c r="FN101" s="268"/>
      <c r="FO101" s="268"/>
      <c r="FP101" s="264"/>
      <c r="FQ101" s="268"/>
      <c r="FR101" s="268"/>
      <c r="FS101" s="268"/>
      <c r="FT101" s="268"/>
      <c r="FU101" s="268"/>
      <c r="FV101" s="268"/>
      <c r="FW101" s="268"/>
      <c r="FX101" s="268"/>
      <c r="FY101" s="268"/>
      <c r="FZ101" s="268"/>
      <c r="GA101" s="268"/>
      <c r="GB101" s="268"/>
      <c r="GC101" s="268"/>
      <c r="GD101" s="268"/>
      <c r="GE101" s="264"/>
      <c r="GF101" s="268"/>
      <c r="GG101" s="268"/>
      <c r="GH101" s="268"/>
      <c r="GI101" s="268">
        <v>0</v>
      </c>
      <c r="GJ101" s="268"/>
      <c r="GK101" s="268"/>
      <c r="GL101" s="268"/>
      <c r="GM101" s="268"/>
      <c r="GN101" s="268"/>
      <c r="GO101" s="268"/>
      <c r="GP101" s="268"/>
      <c r="GQ101" s="268">
        <v>1</v>
      </c>
      <c r="GR101" s="268">
        <v>3</v>
      </c>
      <c r="GS101" s="268"/>
      <c r="GT101" s="268"/>
      <c r="GU101" s="268"/>
      <c r="GV101" s="268"/>
      <c r="GW101" s="268"/>
      <c r="GX101" s="268">
        <v>0</v>
      </c>
      <c r="GY101" s="268"/>
      <c r="GZ101" s="268"/>
      <c r="HA101" s="268"/>
      <c r="HB101" s="268"/>
      <c r="HC101" s="268"/>
      <c r="HD101" s="268"/>
      <c r="HE101" s="268"/>
      <c r="HF101" s="268"/>
      <c r="HG101" s="268"/>
      <c r="HH101" s="268"/>
      <c r="HI101" s="268"/>
      <c r="HJ101" s="268"/>
      <c r="HK101" s="268"/>
      <c r="HL101" s="268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>
        <v>0</v>
      </c>
      <c r="JA101" s="1">
        <v>1</v>
      </c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268"/>
      <c r="KD101" s="268"/>
      <c r="KE101" s="268">
        <v>0</v>
      </c>
      <c r="KF101" s="268"/>
      <c r="KG101" s="268"/>
      <c r="KH101" s="268"/>
      <c r="KI101" s="268">
        <v>0</v>
      </c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</row>
    <row r="102" spans="1:319" s="12" customFormat="1" ht="18" customHeight="1" x14ac:dyDescent="0.25">
      <c r="A102" s="14"/>
      <c r="B102" s="25"/>
      <c r="C102" s="29"/>
      <c r="D102" s="1"/>
      <c r="E102" t="s">
        <v>425</v>
      </c>
      <c r="F102" s="1">
        <v>8952</v>
      </c>
      <c r="G102" s="11" t="s">
        <v>437</v>
      </c>
      <c r="H102"/>
      <c r="I102" s="1">
        <f>SUM(K102:LG102)</f>
        <v>0</v>
      </c>
      <c r="J102" s="66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>
        <v>0</v>
      </c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</row>
    <row r="103" spans="1:319" s="12" customFormat="1" ht="18" customHeight="1" x14ac:dyDescent="0.25">
      <c r="A103" s="14">
        <v>88</v>
      </c>
      <c r="B103" s="13" t="s">
        <v>205</v>
      </c>
      <c r="C103" s="1">
        <v>10515</v>
      </c>
      <c r="D103" s="1">
        <v>2013</v>
      </c>
      <c r="E103" t="s">
        <v>204</v>
      </c>
      <c r="F103" s="1">
        <v>5985</v>
      </c>
      <c r="G103" s="11" t="s">
        <v>434</v>
      </c>
      <c r="H103" s="4" t="s">
        <v>206</v>
      </c>
      <c r="I103" s="1">
        <f>SUM(K103:LG103)</f>
        <v>5</v>
      </c>
      <c r="J103" s="14">
        <f>I103</f>
        <v>5</v>
      </c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268">
        <v>2</v>
      </c>
      <c r="IL103" s="268">
        <v>0</v>
      </c>
      <c r="IM103" s="268"/>
      <c r="IN103" s="268">
        <f>0+3</f>
        <v>3</v>
      </c>
      <c r="IO103" s="268">
        <v>0</v>
      </c>
      <c r="IP103" s="268"/>
      <c r="IQ103" s="268"/>
      <c r="IR103" s="268"/>
      <c r="IS103" s="268"/>
      <c r="IT103" s="268">
        <v>0</v>
      </c>
      <c r="IU103" s="268"/>
      <c r="IV103" s="268"/>
      <c r="IW103" s="268"/>
      <c r="IX103" s="268"/>
      <c r="IY103" s="268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268"/>
      <c r="JU103" s="268">
        <v>0</v>
      </c>
      <c r="JV103" s="268"/>
      <c r="JW103" s="268">
        <v>0</v>
      </c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</row>
    <row r="104" spans="1:319" s="12" customFormat="1" ht="18" customHeight="1" x14ac:dyDescent="0.25">
      <c r="A104" s="14"/>
      <c r="B104" s="13" t="s">
        <v>212</v>
      </c>
      <c r="C104" s="11">
        <v>11319</v>
      </c>
      <c r="D104" s="11"/>
      <c r="E104" t="s">
        <v>211</v>
      </c>
      <c r="F104" s="1">
        <v>5391</v>
      </c>
      <c r="G104" s="11" t="s">
        <v>434</v>
      </c>
      <c r="H104" s="4" t="s">
        <v>203</v>
      </c>
      <c r="I104" s="1">
        <f>SUM(K104:LG104)</f>
        <v>5</v>
      </c>
      <c r="J104" s="14">
        <f t="shared" ref="J104:J112" si="9">I104</f>
        <v>5</v>
      </c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/>
      <c r="DK104"/>
      <c r="DL104"/>
      <c r="DM104">
        <v>0</v>
      </c>
      <c r="DN104">
        <v>0</v>
      </c>
      <c r="DO104"/>
      <c r="DP104"/>
      <c r="DQ104"/>
      <c r="DR104"/>
      <c r="DS104"/>
      <c r="DT104"/>
      <c r="DU104">
        <f>2+3</f>
        <v>5</v>
      </c>
      <c r="DV104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</row>
    <row r="105" spans="1:319" s="12" customFormat="1" ht="19.5" customHeight="1" x14ac:dyDescent="0.25">
      <c r="A105" s="14">
        <v>90</v>
      </c>
      <c r="B105" s="13" t="s">
        <v>220</v>
      </c>
      <c r="C105" s="1">
        <v>10119</v>
      </c>
      <c r="D105" s="1">
        <v>2013</v>
      </c>
      <c r="E105" t="s">
        <v>219</v>
      </c>
      <c r="F105" s="1">
        <v>5267</v>
      </c>
      <c r="G105" s="1" t="s">
        <v>434</v>
      </c>
      <c r="H105" s="4" t="s">
        <v>221</v>
      </c>
      <c r="I105" s="1">
        <f>SUM(K105:LG105)</f>
        <v>4</v>
      </c>
      <c r="J105" s="14">
        <f t="shared" si="9"/>
        <v>4</v>
      </c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>
        <v>4</v>
      </c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>
        <v>0</v>
      </c>
      <c r="HA105" s="1">
        <v>0</v>
      </c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</row>
    <row r="106" spans="1:319" s="12" customFormat="1" ht="19.5" customHeight="1" x14ac:dyDescent="0.25">
      <c r="A106" s="14">
        <v>91</v>
      </c>
      <c r="B106" s="13" t="s">
        <v>209</v>
      </c>
      <c r="C106" s="1">
        <v>11391</v>
      </c>
      <c r="D106" s="1">
        <v>2013</v>
      </c>
      <c r="E106" t="s">
        <v>208</v>
      </c>
      <c r="F106" s="1">
        <v>6753</v>
      </c>
      <c r="G106" s="11" t="s">
        <v>434</v>
      </c>
      <c r="H106" s="4" t="s">
        <v>206</v>
      </c>
      <c r="I106" s="1">
        <f>SUM(K106:LG106)</f>
        <v>3</v>
      </c>
      <c r="J106" s="14">
        <f t="shared" si="9"/>
        <v>3</v>
      </c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268"/>
      <c r="IL106" s="268"/>
      <c r="IM106" s="268">
        <v>0</v>
      </c>
      <c r="IN106" s="268"/>
      <c r="IO106" s="268"/>
      <c r="IP106" s="268">
        <v>1</v>
      </c>
      <c r="IQ106" s="268"/>
      <c r="IR106" s="268"/>
      <c r="IS106" s="268"/>
      <c r="IT106" s="268"/>
      <c r="IU106" s="268"/>
      <c r="IV106" s="268"/>
      <c r="IW106" s="268">
        <v>2</v>
      </c>
      <c r="IX106" s="268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</row>
    <row r="107" spans="1:319" s="12" customFormat="1" ht="18" customHeight="1" x14ac:dyDescent="0.25">
      <c r="A107" s="14"/>
      <c r="B107" s="64" t="s">
        <v>186</v>
      </c>
      <c r="C107" s="1">
        <v>11318</v>
      </c>
      <c r="D107" s="1">
        <v>2017</v>
      </c>
      <c r="E107" t="s">
        <v>183</v>
      </c>
      <c r="F107" s="1">
        <v>7998</v>
      </c>
      <c r="G107" s="11" t="s">
        <v>434</v>
      </c>
      <c r="H107" s="4" t="s">
        <v>137</v>
      </c>
      <c r="I107" s="1">
        <f>SUM(K107:LG107)</f>
        <v>3</v>
      </c>
      <c r="J107" s="14">
        <f t="shared" si="9"/>
        <v>3</v>
      </c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>
        <v>2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>
        <v>1</v>
      </c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</row>
    <row r="108" spans="1:319" s="12" customFormat="1" ht="18" customHeight="1" x14ac:dyDescent="0.25">
      <c r="A108" s="66"/>
      <c r="B108" s="13" t="s">
        <v>332</v>
      </c>
      <c r="C108" s="1">
        <v>11642</v>
      </c>
      <c r="D108" s="1">
        <v>2015</v>
      </c>
      <c r="E108" s="4" t="s">
        <v>331</v>
      </c>
      <c r="F108" s="1">
        <v>9094</v>
      </c>
      <c r="G108" s="11" t="s">
        <v>432</v>
      </c>
      <c r="H108" t="s">
        <v>206</v>
      </c>
      <c r="I108" s="1">
        <f>SUM(K108:LG108)</f>
        <v>3</v>
      </c>
      <c r="J108" s="14">
        <f>I108</f>
        <v>3</v>
      </c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274"/>
      <c r="JU108" s="274">
        <v>0</v>
      </c>
      <c r="JV108" s="274">
        <v>3</v>
      </c>
      <c r="JW108" s="274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</row>
    <row r="109" spans="1:319" s="12" customFormat="1" ht="18" customHeight="1" x14ac:dyDescent="0.3">
      <c r="A109" s="14"/>
      <c r="B109" s="13" t="s">
        <v>223</v>
      </c>
      <c r="C109" s="1">
        <v>10756</v>
      </c>
      <c r="D109" s="1">
        <v>2012</v>
      </c>
      <c r="E109" t="s">
        <v>222</v>
      </c>
      <c r="F109" s="1">
        <v>6801</v>
      </c>
      <c r="G109" s="11" t="s">
        <v>434</v>
      </c>
      <c r="H109" s="4" t="s">
        <v>224</v>
      </c>
      <c r="I109" s="1">
        <f>SUM(K109:LG109)</f>
        <v>3</v>
      </c>
      <c r="J109" s="14">
        <f>I109</f>
        <v>3</v>
      </c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>
        <v>0</v>
      </c>
      <c r="CM109" s="1"/>
      <c r="CN109" s="1">
        <v>0</v>
      </c>
      <c r="CO109" s="1"/>
      <c r="CP109" s="1"/>
      <c r="CQ109" s="1"/>
      <c r="CR109" s="1">
        <v>0</v>
      </c>
      <c r="CS109" s="1"/>
      <c r="CT109" s="1">
        <v>0</v>
      </c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/>
      <c r="FI109"/>
      <c r="FJ109"/>
      <c r="FK109"/>
      <c r="FL109"/>
      <c r="FM109" s="266"/>
      <c r="FN109"/>
      <c r="FO109"/>
      <c r="FP109" s="266"/>
      <c r="FQ109" s="267">
        <v>0</v>
      </c>
      <c r="FR109" s="267">
        <v>0</v>
      </c>
      <c r="FS109"/>
      <c r="FT109"/>
      <c r="FU109"/>
      <c r="FV109"/>
      <c r="FW109"/>
      <c r="FX109" s="267">
        <v>1</v>
      </c>
      <c r="FY109" s="267">
        <v>2</v>
      </c>
      <c r="FZ109"/>
      <c r="GA109"/>
      <c r="GB109"/>
      <c r="GC109"/>
      <c r="GD109"/>
      <c r="GE109" s="266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</row>
    <row r="110" spans="1:319" s="12" customFormat="1" ht="18" customHeight="1" x14ac:dyDescent="0.25">
      <c r="A110" s="14"/>
      <c r="B110" s="13" t="s">
        <v>242</v>
      </c>
      <c r="C110" s="1">
        <v>8029</v>
      </c>
      <c r="D110" s="1"/>
      <c r="E110" s="4" t="s">
        <v>239</v>
      </c>
      <c r="F110" s="1">
        <v>2857</v>
      </c>
      <c r="G110" s="11" t="s">
        <v>434</v>
      </c>
      <c r="H110" s="4" t="s">
        <v>241</v>
      </c>
      <c r="I110" s="1">
        <f>SUM(K110:LG110)</f>
        <v>3</v>
      </c>
      <c r="J110" s="14">
        <f>I110</f>
        <v>3</v>
      </c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>
        <v>0</v>
      </c>
      <c r="BA110" s="1">
        <v>1</v>
      </c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>
        <v>2</v>
      </c>
      <c r="LF110" s="1">
        <v>0</v>
      </c>
      <c r="LG110" s="1"/>
    </row>
    <row r="111" spans="1:319" s="12" customFormat="1" ht="18" customHeight="1" x14ac:dyDescent="0.25">
      <c r="A111" s="14">
        <v>96</v>
      </c>
      <c r="B111" s="13" t="s">
        <v>336</v>
      </c>
      <c r="C111" s="1">
        <v>8175</v>
      </c>
      <c r="D111" s="1">
        <v>2002</v>
      </c>
      <c r="E111" s="4" t="s">
        <v>333</v>
      </c>
      <c r="F111" s="1">
        <v>6225</v>
      </c>
      <c r="G111" s="11" t="s">
        <v>432</v>
      </c>
      <c r="H111" s="4" t="s">
        <v>335</v>
      </c>
      <c r="I111" s="1">
        <f>SUM(K111:LG111)</f>
        <v>2</v>
      </c>
      <c r="J111" s="14">
        <f>I111</f>
        <v>2</v>
      </c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268"/>
      <c r="IL111" s="268">
        <f>1+1</f>
        <v>2</v>
      </c>
      <c r="IM111" s="268"/>
      <c r="IN111" s="268"/>
      <c r="IO111" s="268">
        <v>0</v>
      </c>
      <c r="IP111" s="268"/>
      <c r="IQ111" s="268"/>
      <c r="IR111" s="268"/>
      <c r="IS111" s="268"/>
      <c r="IT111" s="268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</row>
    <row r="112" spans="1:319" s="12" customFormat="1" ht="18" customHeight="1" x14ac:dyDescent="0.25">
      <c r="A112" s="14"/>
      <c r="B112" s="13" t="s">
        <v>406</v>
      </c>
      <c r="C112" s="1">
        <v>11206</v>
      </c>
      <c r="D112" s="1"/>
      <c r="E112" s="4" t="s">
        <v>405</v>
      </c>
      <c r="F112" s="1">
        <v>8650</v>
      </c>
      <c r="G112" s="11" t="s">
        <v>437</v>
      </c>
      <c r="H112" s="4" t="s">
        <v>218</v>
      </c>
      <c r="I112" s="1">
        <f>SUM(K112:LG112)</f>
        <v>2</v>
      </c>
      <c r="J112" s="14">
        <f t="shared" si="9"/>
        <v>2</v>
      </c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>
        <v>1</v>
      </c>
      <c r="AY112" s="1"/>
      <c r="AZ112" s="1"/>
      <c r="BA112" s="1">
        <v>0</v>
      </c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/>
      <c r="EC112">
        <v>0</v>
      </c>
      <c r="ED112"/>
      <c r="EE112"/>
      <c r="EF112">
        <v>1</v>
      </c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>
        <v>0</v>
      </c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268"/>
      <c r="JI112" s="268">
        <v>0</v>
      </c>
      <c r="JJ112" s="268"/>
      <c r="JK112" s="268"/>
      <c r="JL112" s="268"/>
      <c r="JM112" s="268"/>
      <c r="JN112" s="268"/>
      <c r="JO112" s="268">
        <v>0</v>
      </c>
      <c r="JP112" s="268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</row>
    <row r="113" spans="1:319" s="12" customFormat="1" ht="18" customHeight="1" x14ac:dyDescent="0.3">
      <c r="A113" s="14"/>
      <c r="B113" s="13" t="s">
        <v>231</v>
      </c>
      <c r="C113" s="1">
        <v>10112</v>
      </c>
      <c r="D113" s="1">
        <v>2013</v>
      </c>
      <c r="E113" s="273" t="s">
        <v>230</v>
      </c>
      <c r="F113" s="1">
        <v>4969</v>
      </c>
      <c r="G113" s="11" t="s">
        <v>434</v>
      </c>
      <c r="H113" t="s">
        <v>232</v>
      </c>
      <c r="I113" s="1">
        <f>SUM(K113:LG113)</f>
        <v>2</v>
      </c>
      <c r="J113" s="14">
        <f t="shared" ref="J113" si="10">I113</f>
        <v>2</v>
      </c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269"/>
      <c r="FI113" s="269"/>
      <c r="FJ113" s="1"/>
      <c r="FK113" s="1"/>
      <c r="FL113" s="1"/>
      <c r="FM113" s="270"/>
      <c r="FN113" s="1"/>
      <c r="FO113" s="1"/>
      <c r="FP113" s="270"/>
      <c r="FQ113" s="270">
        <v>0</v>
      </c>
      <c r="FR113" s="270">
        <v>0</v>
      </c>
      <c r="FS113" s="274"/>
      <c r="FT113" s="274"/>
      <c r="FU113" s="274"/>
      <c r="FV113" s="274"/>
      <c r="FW113" s="274"/>
      <c r="FX113" s="270">
        <v>2</v>
      </c>
      <c r="FY113" s="274"/>
      <c r="FZ113" s="274"/>
      <c r="GA113" s="274"/>
      <c r="GB113" s="274"/>
      <c r="GC113" s="274"/>
      <c r="GD113" s="274"/>
      <c r="GE113" s="270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JH113" s="268"/>
      <c r="JI113" s="268"/>
      <c r="JJ113" s="268">
        <v>0</v>
      </c>
      <c r="JK113" s="268"/>
      <c r="JL113" s="268"/>
      <c r="JM113" s="268"/>
      <c r="JN113" s="268"/>
      <c r="JO113" s="268">
        <v>0</v>
      </c>
    </row>
    <row r="114" spans="1:319" s="12" customFormat="1" ht="18" customHeight="1" x14ac:dyDescent="0.25">
      <c r="A114" s="14"/>
      <c r="B114" s="13" t="s">
        <v>283</v>
      </c>
      <c r="C114" s="1">
        <v>7673</v>
      </c>
      <c r="D114" s="1"/>
      <c r="E114" t="s">
        <v>282</v>
      </c>
      <c r="F114" s="1">
        <v>8008</v>
      </c>
      <c r="G114" s="1" t="s">
        <v>432</v>
      </c>
      <c r="H114" t="s">
        <v>284</v>
      </c>
      <c r="I114" s="1">
        <f>SUM(K114:LG114)</f>
        <v>2</v>
      </c>
      <c r="J114" s="14">
        <f>I114</f>
        <v>2</v>
      </c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/>
      <c r="FI114"/>
      <c r="FJ114">
        <v>0</v>
      </c>
      <c r="FK114">
        <v>2</v>
      </c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</row>
    <row r="115" spans="1:319" s="12" customFormat="1" ht="18" customHeight="1" x14ac:dyDescent="0.25">
      <c r="A115" s="14"/>
      <c r="B115" s="13" t="s">
        <v>313</v>
      </c>
      <c r="C115" s="1">
        <v>7465</v>
      </c>
      <c r="D115" s="1"/>
      <c r="E115" t="s">
        <v>308</v>
      </c>
      <c r="F115" s="1">
        <v>6761</v>
      </c>
      <c r="G115" s="11" t="s">
        <v>432</v>
      </c>
      <c r="H115" t="s">
        <v>137</v>
      </c>
      <c r="I115" s="1">
        <f>SUM(K115:LG115)</f>
        <v>2</v>
      </c>
      <c r="J115" s="14">
        <f t="shared" ref="J115:J160" si="11">I115</f>
        <v>2</v>
      </c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>
        <v>2</v>
      </c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</row>
    <row r="116" spans="1:319" s="12" customFormat="1" ht="18" customHeight="1" x14ac:dyDescent="0.25">
      <c r="A116" s="14"/>
      <c r="B116" s="13" t="s">
        <v>472</v>
      </c>
      <c r="C116" s="1">
        <v>10680</v>
      </c>
      <c r="D116" s="1"/>
      <c r="E116" t="s">
        <v>471</v>
      </c>
      <c r="F116" s="1">
        <v>8743</v>
      </c>
      <c r="G116" s="11" t="s">
        <v>432</v>
      </c>
      <c r="H116" s="4" t="s">
        <v>241</v>
      </c>
      <c r="I116" s="1">
        <f>SUM(K116:LG116)</f>
        <v>2</v>
      </c>
      <c r="J116" s="14">
        <f t="shared" si="11"/>
        <v>2</v>
      </c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268">
        <v>1</v>
      </c>
      <c r="KD116" s="268"/>
      <c r="KE116" s="268"/>
      <c r="KF116" s="268"/>
      <c r="KG116" s="268">
        <v>1</v>
      </c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</row>
    <row r="117" spans="1:319" s="12" customFormat="1" ht="18" customHeight="1" x14ac:dyDescent="0.25">
      <c r="A117" s="14"/>
      <c r="B117" s="13"/>
      <c r="C117" s="1"/>
      <c r="D117" s="1"/>
      <c r="E117" t="s">
        <v>473</v>
      </c>
      <c r="F117" s="1">
        <v>8750</v>
      </c>
      <c r="G117" s="11" t="s">
        <v>432</v>
      </c>
      <c r="H117" s="4"/>
      <c r="I117" s="1">
        <f>SUM(K117:LG117)</f>
        <v>0</v>
      </c>
      <c r="J117" s="66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274"/>
      <c r="KD117" s="274"/>
      <c r="KE117" s="274"/>
      <c r="KF117" s="274"/>
      <c r="KG117" s="274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>
        <v>0</v>
      </c>
      <c r="LC117" s="1"/>
      <c r="LD117" s="1"/>
      <c r="LE117" s="1">
        <v>0</v>
      </c>
      <c r="LF117" s="1"/>
      <c r="LG117" s="1"/>
    </row>
    <row r="118" spans="1:319" s="12" customFormat="1" ht="18" customHeight="1" x14ac:dyDescent="0.25">
      <c r="A118" s="14"/>
      <c r="B118" s="13" t="s">
        <v>210</v>
      </c>
      <c r="C118" s="1">
        <v>9855</v>
      </c>
      <c r="D118" s="1">
        <v>2011</v>
      </c>
      <c r="E118" t="s">
        <v>208</v>
      </c>
      <c r="F118" s="1">
        <v>6753</v>
      </c>
      <c r="G118" s="11" t="s">
        <v>434</v>
      </c>
      <c r="H118" s="4" t="s">
        <v>206</v>
      </c>
      <c r="I118" s="1">
        <f>SUM(K118:LG118)</f>
        <v>2</v>
      </c>
      <c r="J118" s="14">
        <f t="shared" si="11"/>
        <v>2</v>
      </c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>
        <v>2</v>
      </c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</row>
    <row r="119" spans="1:319" s="12" customFormat="1" ht="18" customHeight="1" x14ac:dyDescent="0.25">
      <c r="A119" s="14"/>
      <c r="B119" s="13" t="s">
        <v>229</v>
      </c>
      <c r="C119" s="1">
        <v>10715</v>
      </c>
      <c r="D119" s="1"/>
      <c r="E119" t="s">
        <v>228</v>
      </c>
      <c r="F119" s="1">
        <v>2208</v>
      </c>
      <c r="G119" s="11" t="s">
        <v>434</v>
      </c>
      <c r="H119" s="4" t="s">
        <v>218</v>
      </c>
      <c r="I119" s="1">
        <f>SUM(K119:LG119)</f>
        <v>2</v>
      </c>
      <c r="J119" s="14">
        <f t="shared" si="11"/>
        <v>2</v>
      </c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>
        <v>2</v>
      </c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</row>
    <row r="120" spans="1:319" s="12" customFormat="1" ht="18" customHeight="1" x14ac:dyDescent="0.25">
      <c r="A120" s="14"/>
      <c r="B120" s="13" t="s">
        <v>413</v>
      </c>
      <c r="C120" s="1">
        <v>8165</v>
      </c>
      <c r="D120" s="1"/>
      <c r="E120" s="4" t="s">
        <v>412</v>
      </c>
      <c r="F120" s="1">
        <v>8827</v>
      </c>
      <c r="G120" s="11" t="s">
        <v>437</v>
      </c>
      <c r="H120" s="4" t="s">
        <v>218</v>
      </c>
      <c r="I120" s="1">
        <f>SUM(K120:LG120)</f>
        <v>2</v>
      </c>
      <c r="J120" s="14">
        <f>I120</f>
        <v>2</v>
      </c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>
        <v>2</v>
      </c>
      <c r="AY120" s="1"/>
      <c r="AZ120" s="1"/>
      <c r="BA120" s="1">
        <v>0</v>
      </c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268"/>
      <c r="KD120" s="268">
        <v>0</v>
      </c>
      <c r="KE120" s="268"/>
      <c r="KF120" s="268"/>
      <c r="KG120" s="268"/>
      <c r="KH120" s="268">
        <v>0</v>
      </c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</row>
    <row r="121" spans="1:319" s="12" customFormat="1" ht="18" customHeight="1" x14ac:dyDescent="0.25">
      <c r="A121" s="66"/>
      <c r="B121" s="13" t="s">
        <v>338</v>
      </c>
      <c r="C121" s="1">
        <v>9719</v>
      </c>
      <c r="D121" s="1">
        <v>2006</v>
      </c>
      <c r="E121" s="4" t="s">
        <v>337</v>
      </c>
      <c r="F121" s="1">
        <v>7476</v>
      </c>
      <c r="G121" s="11" t="s">
        <v>432</v>
      </c>
      <c r="H121" t="s">
        <v>251</v>
      </c>
      <c r="I121" s="1">
        <f>SUM(K121:LG121)</f>
        <v>2</v>
      </c>
      <c r="J121" s="14">
        <f>I121</f>
        <v>2</v>
      </c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>
        <v>2</v>
      </c>
      <c r="JU121" s="1">
        <v>0</v>
      </c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</row>
    <row r="122" spans="1:319" s="12" customFormat="1" ht="18" customHeight="1" x14ac:dyDescent="0.25">
      <c r="A122" s="14"/>
      <c r="B122" s="13" t="s">
        <v>401</v>
      </c>
      <c r="C122" s="1"/>
      <c r="D122" s="1">
        <v>2003</v>
      </c>
      <c r="E122" s="4" t="s">
        <v>400</v>
      </c>
      <c r="F122" s="1">
        <v>8840</v>
      </c>
      <c r="G122" s="11" t="s">
        <v>437</v>
      </c>
      <c r="H122" s="4" t="s">
        <v>335</v>
      </c>
      <c r="I122" s="1">
        <f>SUM(K122:LG122)</f>
        <v>2</v>
      </c>
      <c r="J122" s="14">
        <f>I122</f>
        <v>2</v>
      </c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268">
        <v>0</v>
      </c>
      <c r="IL122" s="268">
        <v>0</v>
      </c>
      <c r="IM122" s="268"/>
      <c r="IN122" s="268">
        <f>0+2</f>
        <v>2</v>
      </c>
      <c r="IO122" s="268">
        <v>0</v>
      </c>
      <c r="IP122" s="268"/>
      <c r="IQ122" s="268"/>
      <c r="IR122" s="268"/>
      <c r="IS122" s="268"/>
      <c r="IT122" s="268">
        <v>0</v>
      </c>
      <c r="IU122" s="268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</row>
    <row r="123" spans="1:319" s="12" customFormat="1" ht="18" customHeight="1" x14ac:dyDescent="0.25">
      <c r="A123" s="14">
        <v>107</v>
      </c>
      <c r="B123" s="13" t="s">
        <v>351</v>
      </c>
      <c r="C123" s="1">
        <v>11277</v>
      </c>
      <c r="D123" s="1">
        <v>2007</v>
      </c>
      <c r="E123" s="4" t="s">
        <v>350</v>
      </c>
      <c r="F123" s="11">
        <v>8422</v>
      </c>
      <c r="G123" s="11" t="s">
        <v>432</v>
      </c>
      <c r="H123" t="s">
        <v>251</v>
      </c>
      <c r="I123" s="1">
        <f>SUM(K123:LG123)</f>
        <v>1</v>
      </c>
      <c r="J123" s="14">
        <f>I123</f>
        <v>1</v>
      </c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274"/>
      <c r="IL123" s="274"/>
      <c r="IM123" s="274"/>
      <c r="IN123" s="274"/>
      <c r="IO123" s="274"/>
      <c r="IP123" s="274"/>
      <c r="IQ123" s="274"/>
      <c r="IR123" s="274"/>
      <c r="IS123" s="274"/>
      <c r="IT123" s="274"/>
      <c r="IU123" s="274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>
        <v>1</v>
      </c>
      <c r="JU123" s="1">
        <v>0</v>
      </c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</row>
    <row r="124" spans="1:319" s="12" customFormat="1" ht="18" customHeight="1" x14ac:dyDescent="0.25">
      <c r="A124" s="14"/>
      <c r="B124" s="275" t="s">
        <v>344</v>
      </c>
      <c r="C124" s="270">
        <v>9494</v>
      </c>
      <c r="D124" s="29"/>
      <c r="E124" s="264" t="s">
        <v>343</v>
      </c>
      <c r="F124" s="270">
        <v>8268</v>
      </c>
      <c r="G124" s="11" t="s">
        <v>432</v>
      </c>
      <c r="H124" s="264" t="s">
        <v>345</v>
      </c>
      <c r="I124" s="1">
        <f>SUM(K124:IS124)</f>
        <v>1</v>
      </c>
      <c r="J124" s="14">
        <f t="shared" ref="J124" si="12">I124</f>
        <v>1</v>
      </c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>
        <v>0</v>
      </c>
      <c r="HG124" s="1">
        <v>1</v>
      </c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319" s="12" customFormat="1" ht="18" customHeight="1" x14ac:dyDescent="0.25">
      <c r="A125" s="66"/>
      <c r="B125" s="13" t="s">
        <v>353</v>
      </c>
      <c r="C125" s="1">
        <v>11290</v>
      </c>
      <c r="D125" s="1">
        <v>2017</v>
      </c>
      <c r="E125" s="4" t="s">
        <v>352</v>
      </c>
      <c r="F125" s="1">
        <v>8382</v>
      </c>
      <c r="G125" s="11" t="s">
        <v>432</v>
      </c>
      <c r="H125" t="s">
        <v>354</v>
      </c>
      <c r="I125" s="1">
        <f>SUM(K125:LG125)</f>
        <v>1</v>
      </c>
      <c r="J125" s="14">
        <f t="shared" ref="J125:J130" si="13">I125</f>
        <v>1</v>
      </c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274"/>
      <c r="JU125" s="274">
        <v>0</v>
      </c>
      <c r="JV125" s="274">
        <v>1</v>
      </c>
      <c r="JW125" s="274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</row>
    <row r="126" spans="1:319" s="12" customFormat="1" ht="18" customHeight="1" x14ac:dyDescent="0.25">
      <c r="A126" s="66"/>
      <c r="B126" s="13" t="s">
        <v>348</v>
      </c>
      <c r="C126" s="1">
        <v>9149</v>
      </c>
      <c r="D126" s="1">
        <v>2011</v>
      </c>
      <c r="E126" s="4" t="s">
        <v>347</v>
      </c>
      <c r="F126" s="1">
        <v>8182</v>
      </c>
      <c r="G126" s="11" t="s">
        <v>432</v>
      </c>
      <c r="H126" t="s">
        <v>349</v>
      </c>
      <c r="I126" s="1">
        <f>SUM(K126:LG126)</f>
        <v>1</v>
      </c>
      <c r="J126" s="14">
        <f t="shared" si="13"/>
        <v>1</v>
      </c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274"/>
      <c r="JU126" s="274">
        <v>0</v>
      </c>
      <c r="JV126" s="274"/>
      <c r="JW126" s="274">
        <v>1</v>
      </c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</row>
    <row r="127" spans="1:319" s="12" customFormat="1" ht="18" customHeight="1" x14ac:dyDescent="0.25">
      <c r="A127" s="14"/>
      <c r="B127" s="13" t="s">
        <v>340</v>
      </c>
      <c r="C127" s="1">
        <v>10793</v>
      </c>
      <c r="D127" s="1"/>
      <c r="E127" s="4" t="s">
        <v>339</v>
      </c>
      <c r="F127" s="1">
        <v>7442</v>
      </c>
      <c r="G127" s="11" t="s">
        <v>432</v>
      </c>
      <c r="H127" t="s">
        <v>221</v>
      </c>
      <c r="I127" s="1">
        <f>SUM(K127:LG127)</f>
        <v>1</v>
      </c>
      <c r="J127" s="14">
        <f t="shared" si="13"/>
        <v>1</v>
      </c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>
        <v>1</v>
      </c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</row>
    <row r="128" spans="1:319" s="12" customFormat="1" ht="18" customHeight="1" x14ac:dyDescent="0.25">
      <c r="A128" s="14"/>
      <c r="B128" s="13" t="s">
        <v>342</v>
      </c>
      <c r="C128" s="1">
        <v>10187</v>
      </c>
      <c r="D128" s="1">
        <v>2011</v>
      </c>
      <c r="E128" s="4" t="s">
        <v>341</v>
      </c>
      <c r="F128" s="1">
        <v>8607</v>
      </c>
      <c r="G128" s="1" t="s">
        <v>432</v>
      </c>
      <c r="H128" s="4" t="s">
        <v>206</v>
      </c>
      <c r="I128" s="1">
        <f>SUM(K128:LG128)</f>
        <v>1</v>
      </c>
      <c r="J128" s="14">
        <f t="shared" si="13"/>
        <v>1</v>
      </c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>
        <v>1</v>
      </c>
      <c r="CM128" s="1"/>
      <c r="CN128" s="1"/>
      <c r="CO128" s="1"/>
      <c r="CP128" s="1"/>
      <c r="CQ128" s="1"/>
      <c r="CR128" s="1">
        <v>0</v>
      </c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>
        <v>0</v>
      </c>
      <c r="JV128" s="1"/>
      <c r="JW128" s="1">
        <v>0</v>
      </c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</row>
    <row r="129" spans="1:319" s="12" customFormat="1" ht="18" customHeight="1" x14ac:dyDescent="0.25">
      <c r="A129" s="14"/>
      <c r="B129" s="13" t="s">
        <v>445</v>
      </c>
      <c r="C129" s="1">
        <v>10438</v>
      </c>
      <c r="D129" s="1">
        <v>2014</v>
      </c>
      <c r="E129" t="s">
        <v>446</v>
      </c>
      <c r="F129" s="1">
        <v>8516</v>
      </c>
      <c r="G129" s="1" t="s">
        <v>432</v>
      </c>
      <c r="H129" t="s">
        <v>251</v>
      </c>
      <c r="I129" s="1">
        <f>SUM(K129:LG129)</f>
        <v>1</v>
      </c>
      <c r="J129" s="14">
        <f t="shared" si="13"/>
        <v>1</v>
      </c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>
        <v>1</v>
      </c>
      <c r="CM129" s="1"/>
      <c r="CN129" s="1"/>
      <c r="CO129" s="1"/>
      <c r="CP129" s="1"/>
      <c r="CQ129" s="1"/>
      <c r="CR129" s="1">
        <v>0</v>
      </c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</row>
    <row r="130" spans="1:319" s="12" customFormat="1" ht="18" customHeight="1" x14ac:dyDescent="0.3">
      <c r="A130" s="14"/>
      <c r="B130" s="13" t="s">
        <v>237</v>
      </c>
      <c r="C130" s="1">
        <v>11316</v>
      </c>
      <c r="D130" s="1">
        <v>2014</v>
      </c>
      <c r="E130" s="273" t="s">
        <v>236</v>
      </c>
      <c r="F130" s="1">
        <v>3702</v>
      </c>
      <c r="G130" s="11" t="s">
        <v>434</v>
      </c>
      <c r="H130" t="s">
        <v>238</v>
      </c>
      <c r="I130" s="1">
        <f>SUM(K130:LG130)</f>
        <v>1</v>
      </c>
      <c r="J130" s="14">
        <f t="shared" si="13"/>
        <v>1</v>
      </c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271"/>
      <c r="FN130" s="1"/>
      <c r="FO130" s="1"/>
      <c r="FP130" s="271"/>
      <c r="FQ130" s="272">
        <v>1</v>
      </c>
      <c r="FR130" s="272"/>
      <c r="FS130" s="1"/>
      <c r="FT130" s="1"/>
      <c r="FU130" s="1"/>
      <c r="FV130" s="1"/>
      <c r="FW130" s="1"/>
      <c r="FX130" s="272"/>
      <c r="FY130" s="272"/>
      <c r="FZ130" s="1"/>
      <c r="GA130" s="1"/>
      <c r="GB130" s="1"/>
      <c r="GC130" s="1"/>
      <c r="GD130" s="1"/>
      <c r="GE130" s="27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</row>
    <row r="131" spans="1:319" s="12" customFormat="1" ht="18" customHeight="1" x14ac:dyDescent="0.25">
      <c r="A131" s="14"/>
      <c r="B131" s="13" t="s">
        <v>258</v>
      </c>
      <c r="C131" s="1">
        <v>9077</v>
      </c>
      <c r="D131" s="1"/>
      <c r="E131" s="4" t="s">
        <v>257</v>
      </c>
      <c r="F131" s="1">
        <v>5795</v>
      </c>
      <c r="G131" s="11" t="s">
        <v>434</v>
      </c>
      <c r="H131" s="4" t="s">
        <v>221</v>
      </c>
      <c r="I131" s="1">
        <f>SUM(K131:LG131)</f>
        <v>1</v>
      </c>
      <c r="J131" s="14">
        <f>I131</f>
        <v>1</v>
      </c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>
        <v>0</v>
      </c>
      <c r="GY131" s="1"/>
      <c r="GZ131" s="1">
        <v>0</v>
      </c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268"/>
      <c r="KD131" s="268">
        <v>0</v>
      </c>
      <c r="KE131" s="268"/>
      <c r="KF131" s="268"/>
      <c r="KG131" s="268"/>
      <c r="KH131" s="268">
        <f>0+1</f>
        <v>1</v>
      </c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</row>
    <row r="132" spans="1:319" s="12" customFormat="1" ht="18" customHeight="1" x14ac:dyDescent="0.3">
      <c r="A132" s="14"/>
      <c r="B132" s="275" t="s">
        <v>247</v>
      </c>
      <c r="C132" s="270">
        <v>10637</v>
      </c>
      <c r="D132" s="29"/>
      <c r="E132" s="264" t="s">
        <v>246</v>
      </c>
      <c r="F132" s="270">
        <v>1784</v>
      </c>
      <c r="G132" s="11" t="s">
        <v>434</v>
      </c>
      <c r="H132" s="264" t="s">
        <v>248</v>
      </c>
      <c r="I132" s="1">
        <f t="shared" ref="I132" si="14">SUM(K132:IS132)</f>
        <v>1</v>
      </c>
      <c r="J132" s="14">
        <f t="shared" ref="J132" si="15">I132</f>
        <v>1</v>
      </c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269"/>
      <c r="FI132" s="269"/>
      <c r="FJ132" s="1"/>
      <c r="FK132" s="1"/>
      <c r="FL132" s="1"/>
      <c r="FM132" s="270"/>
      <c r="FN132" s="1"/>
      <c r="FO132" s="1"/>
      <c r="FP132" s="270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270"/>
      <c r="GF132" s="1"/>
      <c r="GG132" s="1"/>
      <c r="GH132" s="1">
        <v>0</v>
      </c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>
        <v>1</v>
      </c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KC132" s="268"/>
      <c r="KD132" s="268"/>
      <c r="KE132" s="268"/>
      <c r="KF132" s="268"/>
      <c r="KG132" s="268"/>
      <c r="KH132" s="268">
        <f>1+5</f>
        <v>6</v>
      </c>
      <c r="KI132" s="268">
        <v>0</v>
      </c>
    </row>
    <row r="133" spans="1:319" s="12" customFormat="1" ht="18" customHeight="1" x14ac:dyDescent="0.25">
      <c r="A133" s="14"/>
      <c r="B133" s="13" t="s">
        <v>244</v>
      </c>
      <c r="C133" s="1">
        <v>11470</v>
      </c>
      <c r="D133" s="1">
        <v>2017</v>
      </c>
      <c r="E133" s="4" t="s">
        <v>243</v>
      </c>
      <c r="F133" s="1">
        <v>3617</v>
      </c>
      <c r="G133" s="11" t="s">
        <v>434</v>
      </c>
      <c r="H133" t="s">
        <v>245</v>
      </c>
      <c r="I133" s="1">
        <f>SUM(K133:LG133)</f>
        <v>1</v>
      </c>
      <c r="J133" s="14">
        <f t="shared" si="11"/>
        <v>1</v>
      </c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>
        <v>1</v>
      </c>
      <c r="ES133"/>
      <c r="ET133"/>
      <c r="EU133">
        <v>0</v>
      </c>
      <c r="EV133"/>
      <c r="EW133"/>
      <c r="EX133"/>
      <c r="EY133"/>
      <c r="EZ133">
        <v>0</v>
      </c>
      <c r="FA133"/>
      <c r="FB133"/>
      <c r="FC133"/>
      <c r="FD133"/>
      <c r="FE133"/>
      <c r="FF133"/>
      <c r="FG133" s="1"/>
      <c r="FH133" s="268"/>
      <c r="FI133" s="268"/>
      <c r="FJ133" s="268"/>
      <c r="FK133" s="268"/>
      <c r="FL133" s="268"/>
      <c r="FM133" s="264"/>
      <c r="FN133" s="268"/>
      <c r="FO133" s="268"/>
      <c r="FP133" s="264"/>
      <c r="FQ133" s="268"/>
      <c r="FR133" s="268"/>
      <c r="FS133" s="268"/>
      <c r="FT133" s="268"/>
      <c r="FU133" s="268"/>
      <c r="FV133" s="268"/>
      <c r="FW133" s="268"/>
      <c r="FX133" s="268"/>
      <c r="FY133" s="268"/>
      <c r="FZ133" s="268"/>
      <c r="GA133" s="268"/>
      <c r="GB133" s="268"/>
      <c r="GC133" s="268"/>
      <c r="GD133" s="268"/>
      <c r="GE133" s="264"/>
      <c r="GF133" s="268">
        <v>0</v>
      </c>
      <c r="GG133" s="268"/>
      <c r="GH133" s="268">
        <v>0</v>
      </c>
      <c r="GI133" s="268"/>
      <c r="GJ133" s="268"/>
      <c r="GK133" s="268"/>
      <c r="GL133" s="268"/>
      <c r="GM133" s="268"/>
      <c r="GN133" s="268">
        <v>0</v>
      </c>
      <c r="GO133" s="268"/>
      <c r="GP133" s="268"/>
      <c r="GQ133" s="268"/>
      <c r="GR133" s="268"/>
      <c r="GS133" s="268"/>
      <c r="GT133" s="268"/>
      <c r="GU133" s="268"/>
      <c r="GV133" s="268"/>
      <c r="GW133" s="268">
        <v>0</v>
      </c>
      <c r="GX133" s="268">
        <v>0</v>
      </c>
      <c r="GY133" s="268"/>
      <c r="GZ133" s="268"/>
      <c r="HA133" s="268"/>
      <c r="HB133" s="268"/>
      <c r="HC133" s="268"/>
      <c r="HD133" s="268"/>
      <c r="HE133" s="268"/>
      <c r="HF133" s="268"/>
      <c r="HG133" s="268"/>
      <c r="HH133" s="268"/>
      <c r="HI133" s="268"/>
      <c r="HJ133" s="268"/>
      <c r="HK133" s="268"/>
      <c r="HL133" s="268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</row>
    <row r="134" spans="1:319" s="12" customFormat="1" ht="18" customHeight="1" x14ac:dyDescent="0.25">
      <c r="A134" s="14"/>
      <c r="B134" s="13" t="s">
        <v>207</v>
      </c>
      <c r="C134" s="1">
        <v>11392</v>
      </c>
      <c r="D134" s="1">
        <v>2014</v>
      </c>
      <c r="E134" s="4" t="s">
        <v>204</v>
      </c>
      <c r="F134" s="1">
        <v>5985</v>
      </c>
      <c r="G134" s="11" t="s">
        <v>434</v>
      </c>
      <c r="H134" s="4" t="s">
        <v>206</v>
      </c>
      <c r="I134" s="1">
        <f>SUM(K134:LG134)</f>
        <v>1</v>
      </c>
      <c r="J134" s="14">
        <f t="shared" si="11"/>
        <v>1</v>
      </c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274"/>
      <c r="FI134" s="274"/>
      <c r="FJ134" s="274"/>
      <c r="FK134" s="274"/>
      <c r="FL134" s="274"/>
      <c r="FM134" s="270"/>
      <c r="FN134" s="274"/>
      <c r="FO134" s="274"/>
      <c r="FP134" s="270"/>
      <c r="FQ134" s="274"/>
      <c r="FR134" s="274"/>
      <c r="FS134" s="274"/>
      <c r="FT134" s="274"/>
      <c r="FU134" s="274"/>
      <c r="FV134" s="274"/>
      <c r="FW134" s="274"/>
      <c r="FX134" s="274"/>
      <c r="FY134" s="274"/>
      <c r="FZ134" s="274"/>
      <c r="GA134" s="274"/>
      <c r="GB134" s="274"/>
      <c r="GC134" s="274"/>
      <c r="GD134" s="274"/>
      <c r="GE134" s="270"/>
      <c r="GF134" s="274"/>
      <c r="GG134" s="274"/>
      <c r="GH134" s="274"/>
      <c r="GI134" s="274"/>
      <c r="GJ134" s="274"/>
      <c r="GK134" s="274"/>
      <c r="GL134" s="274"/>
      <c r="GM134" s="274"/>
      <c r="GN134" s="274"/>
      <c r="GO134" s="274"/>
      <c r="GP134" s="274"/>
      <c r="GQ134" s="274"/>
      <c r="GR134" s="274"/>
      <c r="GS134" s="274"/>
      <c r="GT134" s="274"/>
      <c r="GU134" s="274"/>
      <c r="GV134" s="274"/>
      <c r="GW134" s="274"/>
      <c r="GX134" s="274"/>
      <c r="GY134" s="274"/>
      <c r="GZ134" s="274"/>
      <c r="HA134" s="274"/>
      <c r="HB134" s="274"/>
      <c r="HC134" s="274"/>
      <c r="HD134" s="274"/>
      <c r="HE134" s="274"/>
      <c r="HF134" s="274"/>
      <c r="HG134" s="274"/>
      <c r="HH134" s="274"/>
      <c r="HI134" s="274"/>
      <c r="HJ134" s="274"/>
      <c r="HK134" s="274"/>
      <c r="HL134" s="274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>
        <v>1</v>
      </c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</row>
    <row r="135" spans="1:319" s="12" customFormat="1" ht="18" customHeight="1" x14ac:dyDescent="0.25">
      <c r="A135" s="14"/>
      <c r="B135" s="54" t="s">
        <v>250</v>
      </c>
      <c r="C135" s="11">
        <v>11274</v>
      </c>
      <c r="D135" s="1">
        <v>2015</v>
      </c>
      <c r="E135" s="273" t="s">
        <v>249</v>
      </c>
      <c r="F135" s="1">
        <v>8770</v>
      </c>
      <c r="G135" s="11" t="s">
        <v>434</v>
      </c>
      <c r="H135" s="273" t="s">
        <v>251</v>
      </c>
      <c r="I135" s="1">
        <f>SUM(K135:LG135)</f>
        <v>1</v>
      </c>
      <c r="J135" s="14">
        <f>I135</f>
        <v>1</v>
      </c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>
        <v>0</v>
      </c>
      <c r="JV135" s="1">
        <v>1</v>
      </c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</row>
    <row r="136" spans="1:319" s="12" customFormat="1" ht="18" customHeight="1" x14ac:dyDescent="0.25">
      <c r="A136" s="14"/>
      <c r="B136" s="303" t="s">
        <v>254</v>
      </c>
      <c r="C136" s="11">
        <v>11191</v>
      </c>
      <c r="D136" s="1">
        <v>2015</v>
      </c>
      <c r="E136" s="273" t="s">
        <v>252</v>
      </c>
      <c r="F136" s="1" t="s">
        <v>253</v>
      </c>
      <c r="G136" s="11" t="s">
        <v>434</v>
      </c>
      <c r="H136" s="273" t="s">
        <v>206</v>
      </c>
      <c r="I136" s="1">
        <f>SUM(K136:LG136)</f>
        <v>1</v>
      </c>
      <c r="J136" s="14">
        <f t="shared" ref="J136" si="16">I136</f>
        <v>1</v>
      </c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>
        <v>0</v>
      </c>
      <c r="JV136" s="1">
        <v>1</v>
      </c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</row>
    <row r="137" spans="1:319" s="12" customFormat="1" ht="18" customHeight="1" x14ac:dyDescent="0.25">
      <c r="A137" s="14"/>
      <c r="B137" s="64" t="s">
        <v>447</v>
      </c>
      <c r="C137" s="1">
        <v>9363</v>
      </c>
      <c r="D137" s="1">
        <v>2011</v>
      </c>
      <c r="E137" s="4" t="s">
        <v>285</v>
      </c>
      <c r="F137" s="1">
        <v>5719</v>
      </c>
      <c r="G137" s="11" t="s">
        <v>432</v>
      </c>
      <c r="H137" s="4" t="s">
        <v>146</v>
      </c>
      <c r="I137" s="1">
        <f>SUM(K137:LG137)</f>
        <v>1</v>
      </c>
      <c r="J137" s="14">
        <f>I137</f>
        <v>1</v>
      </c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/>
      <c r="ES137"/>
      <c r="ET137"/>
      <c r="EU137">
        <v>0</v>
      </c>
      <c r="EV137">
        <v>0</v>
      </c>
      <c r="EW137"/>
      <c r="EX137"/>
      <c r="EY137"/>
      <c r="EZ137"/>
      <c r="FA137"/>
      <c r="FB137"/>
      <c r="FC137">
        <v>0</v>
      </c>
      <c r="FD137">
        <v>0</v>
      </c>
      <c r="FE137"/>
      <c r="FF137"/>
      <c r="FG137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268"/>
      <c r="IL137" s="268"/>
      <c r="IM137" s="268"/>
      <c r="IN137" s="268"/>
      <c r="IO137" s="268"/>
      <c r="IP137" s="268"/>
      <c r="IQ137" s="268"/>
      <c r="IR137" s="268"/>
      <c r="IS137" s="268"/>
      <c r="IT137" s="268">
        <v>0</v>
      </c>
      <c r="IU137" s="268">
        <v>1</v>
      </c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</row>
    <row r="138" spans="1:319" s="12" customFormat="1" ht="18" customHeight="1" x14ac:dyDescent="0.25">
      <c r="A138" s="14"/>
      <c r="B138" s="13" t="s">
        <v>478</v>
      </c>
      <c r="C138" s="1">
        <v>8982</v>
      </c>
      <c r="D138" s="1"/>
      <c r="E138" s="4" t="s">
        <v>477</v>
      </c>
      <c r="F138" s="1">
        <v>8051</v>
      </c>
      <c r="G138" s="11" t="s">
        <v>437</v>
      </c>
      <c r="H138" s="4" t="s">
        <v>479</v>
      </c>
      <c r="I138" s="1">
        <f>SUM(K138:LG138)</f>
        <v>1</v>
      </c>
      <c r="J138" s="14">
        <f t="shared" si="11"/>
        <v>1</v>
      </c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268"/>
      <c r="KW138" s="268"/>
      <c r="KX138" s="268"/>
      <c r="KY138" s="268"/>
      <c r="KZ138" s="268"/>
      <c r="LA138" s="268"/>
      <c r="LB138" s="268"/>
      <c r="LC138" s="268">
        <v>0</v>
      </c>
      <c r="LD138" s="268"/>
      <c r="LE138" s="268">
        <v>1</v>
      </c>
      <c r="LF138" s="1"/>
      <c r="LG138" s="1"/>
    </row>
    <row r="139" spans="1:319" s="12" customFormat="1" ht="18" customHeight="1" x14ac:dyDescent="0.25">
      <c r="A139" s="14">
        <v>123</v>
      </c>
      <c r="B139" s="13" t="s">
        <v>385</v>
      </c>
      <c r="C139" s="1">
        <v>9994</v>
      </c>
      <c r="D139" s="1"/>
      <c r="E139" s="4" t="s">
        <v>378</v>
      </c>
      <c r="F139" s="1">
        <v>8431</v>
      </c>
      <c r="G139" s="11" t="s">
        <v>432</v>
      </c>
      <c r="H139" s="4" t="s">
        <v>380</v>
      </c>
      <c r="I139" s="1">
        <f>SUM(K139:LG139)</f>
        <v>0</v>
      </c>
      <c r="J139" s="14">
        <f>I139</f>
        <v>0</v>
      </c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>
        <v>0</v>
      </c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</row>
    <row r="140" spans="1:319" s="12" customFormat="1" ht="18" customHeight="1" x14ac:dyDescent="0.25">
      <c r="A140" s="14"/>
      <c r="B140" s="13" t="s">
        <v>361</v>
      </c>
      <c r="C140" s="1">
        <v>10265</v>
      </c>
      <c r="D140" s="1">
        <v>2014</v>
      </c>
      <c r="E140" s="4" t="s">
        <v>360</v>
      </c>
      <c r="F140" s="1">
        <v>8956</v>
      </c>
      <c r="G140" s="11" t="s">
        <v>432</v>
      </c>
      <c r="H140" s="4" t="s">
        <v>335</v>
      </c>
      <c r="I140" s="1">
        <f>SUM(K140:LG140)</f>
        <v>0</v>
      </c>
      <c r="J140" s="14">
        <f t="shared" ref="J140:J154" si="17">I140</f>
        <v>0</v>
      </c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268">
        <v>0</v>
      </c>
      <c r="IL140" s="268"/>
      <c r="IM140" s="268"/>
      <c r="IN140" s="268">
        <v>0</v>
      </c>
      <c r="IO140" s="268"/>
      <c r="IP140" s="268"/>
      <c r="IQ140" s="268"/>
      <c r="IR140" s="268"/>
      <c r="IS140" s="268"/>
      <c r="IT140" s="268">
        <v>0</v>
      </c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</row>
    <row r="141" spans="1:319" s="12" customFormat="1" ht="18" customHeight="1" x14ac:dyDescent="0.25">
      <c r="A141" s="14"/>
      <c r="B141" s="13" t="s">
        <v>297</v>
      </c>
      <c r="C141" s="1">
        <v>9908</v>
      </c>
      <c r="D141" s="1"/>
      <c r="E141" s="4" t="s">
        <v>296</v>
      </c>
      <c r="F141" s="1">
        <v>7761</v>
      </c>
      <c r="G141" s="11" t="s">
        <v>434</v>
      </c>
      <c r="H141" s="4" t="s">
        <v>200</v>
      </c>
      <c r="I141" s="1">
        <f>SUM(K141:LG141)</f>
        <v>0</v>
      </c>
      <c r="J141" s="14">
        <f t="shared" si="17"/>
        <v>0</v>
      </c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>
        <v>0</v>
      </c>
      <c r="FI141" s="1">
        <v>0</v>
      </c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</row>
    <row r="142" spans="1:319" s="12" customFormat="1" ht="18" customHeight="1" x14ac:dyDescent="0.25">
      <c r="A142" s="14"/>
      <c r="B142" s="13" t="s">
        <v>468</v>
      </c>
      <c r="C142" s="1">
        <v>10063</v>
      </c>
      <c r="D142" s="1"/>
      <c r="E142" s="4" t="s">
        <v>467</v>
      </c>
      <c r="F142" s="1">
        <v>8540</v>
      </c>
      <c r="G142" s="11" t="s">
        <v>432</v>
      </c>
      <c r="H142" s="4" t="s">
        <v>284</v>
      </c>
      <c r="I142" s="1">
        <f>SUM(K142:LG142)</f>
        <v>0</v>
      </c>
      <c r="J142" s="14">
        <f t="shared" si="17"/>
        <v>0</v>
      </c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268"/>
      <c r="KD142" s="268"/>
      <c r="KE142" s="268">
        <v>0</v>
      </c>
      <c r="KF142" s="268"/>
      <c r="KG142" s="268"/>
      <c r="KH142" s="268"/>
      <c r="KI142" s="268">
        <v>0</v>
      </c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</row>
    <row r="143" spans="1:319" s="12" customFormat="1" ht="18" customHeight="1" x14ac:dyDescent="0.25">
      <c r="A143" s="14"/>
      <c r="B143" s="13" t="s">
        <v>370</v>
      </c>
      <c r="C143" s="1">
        <v>7864</v>
      </c>
      <c r="D143" s="1">
        <v>2008</v>
      </c>
      <c r="E143" t="s">
        <v>369</v>
      </c>
      <c r="F143" s="1">
        <v>3874</v>
      </c>
      <c r="G143" s="1" t="s">
        <v>432</v>
      </c>
      <c r="H143" t="s">
        <v>371</v>
      </c>
      <c r="I143" s="1">
        <f>SUM(K143:LG143)</f>
        <v>0</v>
      </c>
      <c r="J143" s="14">
        <f t="shared" si="17"/>
        <v>0</v>
      </c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>
        <v>0</v>
      </c>
      <c r="HI143" s="1">
        <v>0</v>
      </c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268"/>
      <c r="IL143" s="268"/>
      <c r="IM143" s="268"/>
      <c r="IN143" s="268">
        <v>0</v>
      </c>
      <c r="IO143" s="268">
        <v>0</v>
      </c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</row>
    <row r="144" spans="1:319" s="12" customFormat="1" ht="18" customHeight="1" x14ac:dyDescent="0.25">
      <c r="A144" s="14"/>
      <c r="B144" s="13" t="s">
        <v>334</v>
      </c>
      <c r="C144" s="1">
        <v>9944</v>
      </c>
      <c r="D144" s="1">
        <v>2009</v>
      </c>
      <c r="E144" s="4" t="s">
        <v>333</v>
      </c>
      <c r="F144" s="1">
        <v>6225</v>
      </c>
      <c r="G144" s="11" t="s">
        <v>432</v>
      </c>
      <c r="H144" s="4" t="s">
        <v>335</v>
      </c>
      <c r="I144" s="1">
        <f>SUM(K144:LG144)</f>
        <v>0</v>
      </c>
      <c r="J144" s="14">
        <f t="shared" si="17"/>
        <v>0</v>
      </c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268">
        <v>0</v>
      </c>
      <c r="IL144" s="268"/>
      <c r="IM144" s="268"/>
      <c r="IN144" s="268">
        <v>0</v>
      </c>
      <c r="IO144" s="268"/>
      <c r="IP144" s="268"/>
      <c r="IQ144" s="268"/>
      <c r="IR144" s="268"/>
      <c r="IS144" s="268"/>
      <c r="IT144" s="268">
        <v>0</v>
      </c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</row>
    <row r="145" spans="1:319" s="12" customFormat="1" ht="18" customHeight="1" x14ac:dyDescent="0.25">
      <c r="A145" s="14"/>
      <c r="B145" s="13" t="s">
        <v>364</v>
      </c>
      <c r="C145" s="1">
        <v>9793</v>
      </c>
      <c r="D145" s="1"/>
      <c r="E145" t="s">
        <v>362</v>
      </c>
      <c r="F145" s="1">
        <v>8873</v>
      </c>
      <c r="G145" s="11" t="s">
        <v>432</v>
      </c>
      <c r="H145" s="4" t="s">
        <v>137</v>
      </c>
      <c r="I145" s="1">
        <f>SUM(K145:LG145)</f>
        <v>0</v>
      </c>
      <c r="J145" s="14">
        <f t="shared" si="17"/>
        <v>0</v>
      </c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>
        <v>0</v>
      </c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</row>
    <row r="146" spans="1:319" s="12" customFormat="1" ht="18" customHeight="1" x14ac:dyDescent="0.25">
      <c r="A146" s="14"/>
      <c r="B146" s="13" t="s">
        <v>261</v>
      </c>
      <c r="C146" s="1">
        <v>8340</v>
      </c>
      <c r="D146" s="1"/>
      <c r="E146" t="s">
        <v>260</v>
      </c>
      <c r="F146" s="1">
        <v>5712</v>
      </c>
      <c r="G146" s="1" t="s">
        <v>434</v>
      </c>
      <c r="H146" t="s">
        <v>203</v>
      </c>
      <c r="I146" s="1">
        <f>SUM(K146:LG146)</f>
        <v>0</v>
      </c>
      <c r="J146" s="14">
        <f t="shared" si="17"/>
        <v>0</v>
      </c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264"/>
      <c r="FI146" s="264"/>
      <c r="FJ146" s="264"/>
      <c r="FK146" s="264"/>
      <c r="FL146" s="264"/>
      <c r="FM146" s="264"/>
      <c r="FN146" s="264"/>
      <c r="FO146" s="264"/>
      <c r="FP146" s="264"/>
      <c r="FQ146" s="264"/>
      <c r="FR146" s="264"/>
      <c r="FS146" s="264"/>
      <c r="FT146" s="264"/>
      <c r="FU146" s="264"/>
      <c r="FV146" s="264"/>
      <c r="FW146" s="264"/>
      <c r="FX146" s="264"/>
      <c r="FY146" s="264"/>
      <c r="FZ146" s="264"/>
      <c r="GA146" s="264"/>
      <c r="GB146" s="264"/>
      <c r="GC146" s="264"/>
      <c r="GD146" s="264"/>
      <c r="GE146" s="264"/>
      <c r="GF146" s="268"/>
      <c r="GG146" s="268"/>
      <c r="GH146" s="268">
        <v>0</v>
      </c>
      <c r="GI146" s="268">
        <v>0</v>
      </c>
      <c r="GJ146" s="268"/>
      <c r="GK146" s="268"/>
      <c r="GL146" s="268"/>
      <c r="GM146" s="268"/>
      <c r="GN146" s="268"/>
      <c r="GO146" s="268">
        <v>0</v>
      </c>
      <c r="GP146" s="268"/>
      <c r="GQ146" s="268">
        <v>0</v>
      </c>
      <c r="GR146" s="268"/>
      <c r="GS146" s="268"/>
      <c r="GT146" s="268"/>
      <c r="GU146" s="268"/>
      <c r="GV146" s="268"/>
      <c r="GW146" s="268"/>
      <c r="GX146" s="268">
        <v>0</v>
      </c>
      <c r="GY146" s="268"/>
      <c r="GZ146" s="268">
        <v>0</v>
      </c>
      <c r="HA146" s="268"/>
      <c r="HB146" s="268"/>
      <c r="HC146" s="268"/>
      <c r="HD146" s="268"/>
      <c r="HE146" s="268"/>
      <c r="HF146" s="268"/>
      <c r="HG146" s="268"/>
      <c r="HH146" s="268"/>
      <c r="HI146" s="268"/>
      <c r="HJ146" s="268"/>
      <c r="HK146" s="268"/>
      <c r="HL146" s="268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</row>
    <row r="147" spans="1:319" s="12" customFormat="1" ht="18" customHeight="1" x14ac:dyDescent="0.25">
      <c r="A147" s="14"/>
      <c r="B147" s="13" t="s">
        <v>356</v>
      </c>
      <c r="C147" s="1">
        <v>9364</v>
      </c>
      <c r="D147" s="1">
        <v>2010</v>
      </c>
      <c r="E147" s="4" t="s">
        <v>355</v>
      </c>
      <c r="F147" s="1">
        <v>5968</v>
      </c>
      <c r="G147" s="11" t="s">
        <v>432</v>
      </c>
      <c r="H147" t="s">
        <v>206</v>
      </c>
      <c r="I147" s="1">
        <f>SUM(K147:LG147)</f>
        <v>0</v>
      </c>
      <c r="J147" s="14">
        <f>I147</f>
        <v>0</v>
      </c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274"/>
      <c r="JU147" s="274"/>
      <c r="JV147" s="274"/>
      <c r="JW147" s="274">
        <v>0</v>
      </c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</row>
    <row r="148" spans="1:319" s="12" customFormat="1" ht="18" customHeight="1" x14ac:dyDescent="0.25">
      <c r="A148" s="14"/>
      <c r="B148" s="13" t="s">
        <v>327</v>
      </c>
      <c r="C148" s="1">
        <v>8780</v>
      </c>
      <c r="D148" s="1"/>
      <c r="E148" s="4" t="s">
        <v>325</v>
      </c>
      <c r="F148" s="1">
        <v>8828</v>
      </c>
      <c r="G148" s="11" t="s">
        <v>432</v>
      </c>
      <c r="H148" t="s">
        <v>292</v>
      </c>
      <c r="I148" s="1">
        <f>SUM(K148:LG148)</f>
        <v>0</v>
      </c>
      <c r="J148" s="14">
        <f t="shared" si="17"/>
        <v>0</v>
      </c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>
        <v>0</v>
      </c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>
        <v>0</v>
      </c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</row>
    <row r="149" spans="1:319" s="12" customFormat="1" ht="18" customHeight="1" x14ac:dyDescent="0.25">
      <c r="A149" s="14"/>
      <c r="B149" s="13" t="s">
        <v>363</v>
      </c>
      <c r="C149" s="1">
        <v>5718</v>
      </c>
      <c r="D149" s="1"/>
      <c r="E149" t="s">
        <v>362</v>
      </c>
      <c r="F149" s="1">
        <v>8873</v>
      </c>
      <c r="G149" s="11" t="s">
        <v>432</v>
      </c>
      <c r="H149" s="4" t="s">
        <v>137</v>
      </c>
      <c r="I149" s="1">
        <f>SUM(K149:LG149)</f>
        <v>0</v>
      </c>
      <c r="J149" s="14">
        <f t="shared" si="17"/>
        <v>0</v>
      </c>
      <c r="K149" s="1"/>
      <c r="L149" s="1"/>
      <c r="M149" s="1"/>
      <c r="N149" s="1"/>
      <c r="O149" s="1">
        <v>0</v>
      </c>
      <c r="P149" s="1"/>
      <c r="Q149" s="1"/>
      <c r="R149" s="1"/>
      <c r="S149" s="1"/>
      <c r="T149" s="1"/>
      <c r="U149" s="1"/>
      <c r="V149" s="1">
        <v>0</v>
      </c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</row>
    <row r="150" spans="1:319" s="12" customFormat="1" ht="18" customHeight="1" x14ac:dyDescent="0.25">
      <c r="A150" s="66"/>
      <c r="B150" s="13" t="s">
        <v>382</v>
      </c>
      <c r="C150" s="1">
        <v>11278</v>
      </c>
      <c r="D150" s="1">
        <v>2016</v>
      </c>
      <c r="E150" s="4" t="s">
        <v>381</v>
      </c>
      <c r="F150" s="1">
        <v>8511</v>
      </c>
      <c r="G150" s="11" t="s">
        <v>432</v>
      </c>
      <c r="H150" t="s">
        <v>251</v>
      </c>
      <c r="I150" s="1">
        <f>SUM(K150:LG150)</f>
        <v>0</v>
      </c>
      <c r="J150" s="14">
        <f>I150</f>
        <v>0</v>
      </c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274"/>
      <c r="JU150" s="274">
        <v>0</v>
      </c>
      <c r="JV150" s="274"/>
      <c r="JW150" s="274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</row>
    <row r="151" spans="1:319" s="12" customFormat="1" ht="18" customHeight="1" x14ac:dyDescent="0.25">
      <c r="A151" s="14"/>
      <c r="B151" s="13" t="s">
        <v>368</v>
      </c>
      <c r="C151" s="1">
        <v>6126</v>
      </c>
      <c r="D151" s="1">
        <v>2001</v>
      </c>
      <c r="E151" s="4" t="s">
        <v>367</v>
      </c>
      <c r="F151" s="1">
        <v>8842</v>
      </c>
      <c r="G151" s="11" t="s">
        <v>432</v>
      </c>
      <c r="H151" s="4" t="s">
        <v>335</v>
      </c>
      <c r="I151" s="1">
        <f>SUM(K151:LG151)</f>
        <v>0</v>
      </c>
      <c r="J151" s="14">
        <f t="shared" si="17"/>
        <v>0</v>
      </c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268">
        <v>0</v>
      </c>
      <c r="IL151" s="268"/>
      <c r="IM151" s="268"/>
      <c r="IN151" s="268">
        <v>0</v>
      </c>
      <c r="IO151" s="268"/>
      <c r="IP151" s="268"/>
      <c r="IQ151" s="268"/>
      <c r="IR151" s="268"/>
      <c r="IS151" s="268"/>
      <c r="IT151" s="268">
        <v>0</v>
      </c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</row>
    <row r="152" spans="1:319" ht="18" customHeight="1" x14ac:dyDescent="0.25">
      <c r="B152" s="13" t="s">
        <v>263</v>
      </c>
      <c r="C152" s="1">
        <v>9969</v>
      </c>
      <c r="D152" s="1">
        <v>2013</v>
      </c>
      <c r="E152" t="s">
        <v>262</v>
      </c>
      <c r="F152" s="1">
        <v>3057</v>
      </c>
      <c r="G152" s="1" t="s">
        <v>434</v>
      </c>
      <c r="H152" t="s">
        <v>264</v>
      </c>
      <c r="I152" s="1">
        <f>SUM(K152:LG152)</f>
        <v>0</v>
      </c>
      <c r="J152" s="14">
        <f t="shared" si="17"/>
        <v>0</v>
      </c>
      <c r="CN152" s="1">
        <v>0</v>
      </c>
    </row>
    <row r="153" spans="1:319" s="12" customFormat="1" ht="18" customHeight="1" x14ac:dyDescent="0.25">
      <c r="A153" s="14"/>
      <c r="B153" s="54" t="s">
        <v>259</v>
      </c>
      <c r="C153" s="11">
        <v>11171</v>
      </c>
      <c r="D153" s="1">
        <v>2015</v>
      </c>
      <c r="E153" s="273" t="s">
        <v>249</v>
      </c>
      <c r="F153" s="1">
        <v>8770</v>
      </c>
      <c r="G153" s="11" t="s">
        <v>434</v>
      </c>
      <c r="H153" s="273" t="s">
        <v>251</v>
      </c>
      <c r="I153" s="1">
        <f>SUM(K153:LG153)</f>
        <v>0</v>
      </c>
      <c r="J153" s="14">
        <f>I153</f>
        <v>0</v>
      </c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>
        <v>0</v>
      </c>
      <c r="JW153" s="1">
        <v>0</v>
      </c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</row>
    <row r="154" spans="1:319" ht="18" customHeight="1" x14ac:dyDescent="0.25">
      <c r="B154" s="13" t="s">
        <v>420</v>
      </c>
      <c r="C154" s="1">
        <v>5271</v>
      </c>
      <c r="D154" s="1"/>
      <c r="E154" t="s">
        <v>421</v>
      </c>
      <c r="F154" s="1">
        <v>8399</v>
      </c>
      <c r="G154" s="11" t="s">
        <v>437</v>
      </c>
      <c r="H154" s="4" t="s">
        <v>404</v>
      </c>
      <c r="I154" s="1">
        <f>SUM(K154:LG154)</f>
        <v>0</v>
      </c>
      <c r="J154" s="14">
        <f t="shared" si="17"/>
        <v>0</v>
      </c>
      <c r="EF154" s="1">
        <v>0</v>
      </c>
    </row>
    <row r="155" spans="1:319" ht="18" customHeight="1" x14ac:dyDescent="0.25">
      <c r="D155" s="1"/>
      <c r="E155" t="s">
        <v>418</v>
      </c>
      <c r="F155" s="1">
        <v>8621</v>
      </c>
      <c r="G155" s="11" t="s">
        <v>437</v>
      </c>
      <c r="I155" s="1">
        <f>SUM(K155:LG155)</f>
        <v>0</v>
      </c>
      <c r="J155" s="66"/>
      <c r="EF155" s="1">
        <v>0</v>
      </c>
    </row>
    <row r="156" spans="1:319" s="12" customFormat="1" ht="18" customHeight="1" x14ac:dyDescent="0.25">
      <c r="A156" s="66"/>
      <c r="B156" s="13" t="s">
        <v>359</v>
      </c>
      <c r="C156" s="1">
        <v>10644</v>
      </c>
      <c r="D156" s="1">
        <v>2012</v>
      </c>
      <c r="E156" s="4" t="s">
        <v>357</v>
      </c>
      <c r="F156" s="1">
        <v>7872</v>
      </c>
      <c r="G156" s="11" t="s">
        <v>432</v>
      </c>
      <c r="H156" t="s">
        <v>251</v>
      </c>
      <c r="I156" s="1">
        <f>SUM(K156:LG156)</f>
        <v>0</v>
      </c>
      <c r="J156" s="14">
        <f>I156</f>
        <v>0</v>
      </c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274"/>
      <c r="JU156" s="274">
        <v>0</v>
      </c>
      <c r="JV156" s="274"/>
      <c r="JW156" s="274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</row>
    <row r="157" spans="1:319" ht="18" customHeight="1" x14ac:dyDescent="0.25">
      <c r="B157" s="13" t="s">
        <v>417</v>
      </c>
      <c r="C157" s="1">
        <v>11628</v>
      </c>
      <c r="D157" s="1">
        <v>2010</v>
      </c>
      <c r="E157" t="s">
        <v>416</v>
      </c>
      <c r="F157" s="1">
        <v>8575</v>
      </c>
      <c r="G157" s="11" t="s">
        <v>437</v>
      </c>
      <c r="H157" s="4" t="s">
        <v>160</v>
      </c>
      <c r="I157" s="1">
        <f>SUM(K157:LG157)</f>
        <v>0</v>
      </c>
      <c r="J157" s="14">
        <f>I157</f>
        <v>0</v>
      </c>
      <c r="JU157" s="1">
        <v>0</v>
      </c>
    </row>
    <row r="158" spans="1:319" s="12" customFormat="1" ht="18" customHeight="1" x14ac:dyDescent="0.25">
      <c r="A158" s="14"/>
      <c r="B158" s="13" t="s">
        <v>408</v>
      </c>
      <c r="C158" s="1">
        <v>5174</v>
      </c>
      <c r="D158" s="1">
        <v>2001</v>
      </c>
      <c r="E158" s="4" t="s">
        <v>407</v>
      </c>
      <c r="F158" s="1">
        <v>8547</v>
      </c>
      <c r="G158" s="11" t="s">
        <v>437</v>
      </c>
      <c r="H158" s="4" t="s">
        <v>192</v>
      </c>
      <c r="I158" s="1">
        <f>SUM(K158:LG158)</f>
        <v>0</v>
      </c>
      <c r="J158" s="14">
        <f>I158</f>
        <v>0</v>
      </c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268">
        <v>0</v>
      </c>
      <c r="IL158" s="268">
        <v>0</v>
      </c>
      <c r="IM158" s="268"/>
      <c r="IN158" s="268">
        <v>0</v>
      </c>
      <c r="IO158" s="268">
        <v>0</v>
      </c>
      <c r="IP158" s="268"/>
      <c r="IQ158" s="268"/>
      <c r="IR158" s="268"/>
      <c r="IS158" s="268"/>
      <c r="IT158" s="268">
        <v>0</v>
      </c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</row>
    <row r="159" spans="1:319" ht="18" customHeight="1" x14ac:dyDescent="0.25">
      <c r="B159" s="13" t="s">
        <v>377</v>
      </c>
      <c r="C159" s="1">
        <v>9361</v>
      </c>
      <c r="D159" s="1"/>
      <c r="E159" t="s">
        <v>376</v>
      </c>
      <c r="F159" s="1">
        <v>8506</v>
      </c>
      <c r="G159" s="11" t="s">
        <v>432</v>
      </c>
      <c r="H159" s="4" t="s">
        <v>200</v>
      </c>
      <c r="I159" s="1">
        <f>SUM(K159:LG159)</f>
        <v>0</v>
      </c>
      <c r="J159" s="14">
        <f>I159</f>
        <v>0</v>
      </c>
      <c r="DJ159"/>
      <c r="DK159"/>
      <c r="DL159"/>
      <c r="DM159">
        <v>0</v>
      </c>
      <c r="DN159">
        <v>0</v>
      </c>
      <c r="DO159"/>
      <c r="DP159"/>
      <c r="DQ159"/>
      <c r="DR159"/>
      <c r="DS159"/>
      <c r="DT159"/>
      <c r="DU159">
        <v>0</v>
      </c>
      <c r="ER159"/>
      <c r="ES159"/>
      <c r="ET159"/>
      <c r="EU159">
        <v>0</v>
      </c>
      <c r="EV159">
        <v>0</v>
      </c>
      <c r="EW159"/>
      <c r="EX159"/>
      <c r="EY159"/>
      <c r="EZ159"/>
      <c r="FA159"/>
      <c r="FB159"/>
      <c r="FC159">
        <v>0</v>
      </c>
      <c r="FD159"/>
      <c r="FE159"/>
      <c r="FF159"/>
      <c r="FG159"/>
      <c r="FH159" s="1">
        <v>0</v>
      </c>
      <c r="FI159" s="1">
        <v>0</v>
      </c>
    </row>
    <row r="160" spans="1:319" s="12" customFormat="1" ht="18" customHeight="1" x14ac:dyDescent="0.25">
      <c r="A160" s="14"/>
      <c r="B160" s="13" t="s">
        <v>415</v>
      </c>
      <c r="C160" s="1">
        <v>11380</v>
      </c>
      <c r="D160" s="1"/>
      <c r="E160" s="4" t="s">
        <v>414</v>
      </c>
      <c r="F160" s="1">
        <v>8620</v>
      </c>
      <c r="G160" s="11" t="s">
        <v>437</v>
      </c>
      <c r="H160" s="4" t="s">
        <v>404</v>
      </c>
      <c r="I160" s="1">
        <f>SUM(K160:LG160)</f>
        <v>0</v>
      </c>
      <c r="J160" s="14">
        <f t="shared" si="11"/>
        <v>0</v>
      </c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>
        <v>0</v>
      </c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/>
      <c r="EC160"/>
      <c r="ED160"/>
      <c r="EE160"/>
      <c r="EF160">
        <v>0</v>
      </c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>
        <v>0</v>
      </c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</row>
    <row r="161" spans="1:319" s="12" customFormat="1" ht="18" customHeight="1" x14ac:dyDescent="0.25">
      <c r="A161" s="14"/>
      <c r="B161" s="13" t="s">
        <v>419</v>
      </c>
      <c r="C161" s="1">
        <v>10888</v>
      </c>
      <c r="D161" s="1"/>
      <c r="E161" t="s">
        <v>418</v>
      </c>
      <c r="F161" s="1">
        <v>8621</v>
      </c>
      <c r="G161" s="11" t="s">
        <v>437</v>
      </c>
      <c r="H161" s="4" t="s">
        <v>404</v>
      </c>
      <c r="I161" s="1">
        <f>SUM(K161:LG161)</f>
        <v>0</v>
      </c>
      <c r="J161" s="14">
        <f>I161</f>
        <v>0</v>
      </c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>
        <v>0</v>
      </c>
      <c r="EC161"/>
      <c r="ED161"/>
      <c r="EE161"/>
      <c r="EF16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268"/>
      <c r="JI161" s="268">
        <v>0</v>
      </c>
      <c r="JJ161" s="268"/>
      <c r="JK161" s="268"/>
      <c r="JL161" s="268"/>
      <c r="JM161" s="268"/>
      <c r="JN161" s="268"/>
      <c r="JO161" s="268">
        <v>0</v>
      </c>
      <c r="JP161" s="268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</row>
    <row r="162" spans="1:319" s="12" customFormat="1" ht="18" customHeight="1" x14ac:dyDescent="0.25">
      <c r="A162" s="66"/>
      <c r="B162" s="13" t="s">
        <v>358</v>
      </c>
      <c r="C162" s="1">
        <v>10645</v>
      </c>
      <c r="D162" s="1">
        <v>2007</v>
      </c>
      <c r="E162" s="4" t="s">
        <v>357</v>
      </c>
      <c r="F162" s="1">
        <v>7872</v>
      </c>
      <c r="G162" s="11" t="s">
        <v>432</v>
      </c>
      <c r="H162" t="s">
        <v>251</v>
      </c>
      <c r="I162" s="1">
        <f>SUM(K162:LG162)</f>
        <v>0</v>
      </c>
      <c r="J162" s="14">
        <f>I162</f>
        <v>0</v>
      </c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274"/>
      <c r="JU162" s="274">
        <v>0</v>
      </c>
      <c r="JV162" s="274"/>
      <c r="JW162" s="274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</row>
    <row r="163" spans="1:319" ht="18" customHeight="1" x14ac:dyDescent="0.25">
      <c r="B163" s="13" t="s">
        <v>295</v>
      </c>
      <c r="C163" s="1">
        <v>8821</v>
      </c>
      <c r="D163" s="1">
        <v>2008</v>
      </c>
      <c r="E163" s="273" t="s">
        <v>294</v>
      </c>
      <c r="F163" s="1">
        <v>9109</v>
      </c>
      <c r="G163" s="11" t="s">
        <v>436</v>
      </c>
      <c r="H163" s="4" t="s">
        <v>206</v>
      </c>
      <c r="I163" s="1">
        <f>SUM(K163:LG163)</f>
        <v>0</v>
      </c>
      <c r="J163" s="14">
        <f t="shared" ref="J163" si="18">I163</f>
        <v>0</v>
      </c>
      <c r="IJ163" s="274"/>
      <c r="IK163" s="274"/>
      <c r="IL163" s="274"/>
      <c r="IM163" s="274"/>
      <c r="IN163" s="274"/>
      <c r="IO163" s="274"/>
      <c r="IP163" s="274"/>
      <c r="IQ163" s="274"/>
      <c r="IR163" s="274"/>
      <c r="IS163" s="274"/>
      <c r="IT163" s="274"/>
      <c r="JS163" s="274"/>
      <c r="JT163" s="274"/>
      <c r="JU163" s="274"/>
      <c r="JV163" s="274"/>
      <c r="JW163" s="274">
        <v>0</v>
      </c>
    </row>
    <row r="164" spans="1:319" s="12" customFormat="1" ht="18" customHeight="1" x14ac:dyDescent="0.25">
      <c r="A164" s="14"/>
      <c r="B164" s="13" t="s">
        <v>384</v>
      </c>
      <c r="C164" s="1"/>
      <c r="D164" s="1">
        <v>2006</v>
      </c>
      <c r="E164" s="4" t="s">
        <v>383</v>
      </c>
      <c r="F164" s="1">
        <v>8841</v>
      </c>
      <c r="G164" s="11" t="s">
        <v>432</v>
      </c>
      <c r="H164" s="4" t="s">
        <v>335</v>
      </c>
      <c r="I164" s="1">
        <f>SUM(K164:LG164)</f>
        <v>0</v>
      </c>
      <c r="J164" s="14">
        <f>I164</f>
        <v>0</v>
      </c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268">
        <v>0</v>
      </c>
      <c r="IL164" s="268"/>
      <c r="IM164" s="268"/>
      <c r="IN164" s="268">
        <v>0</v>
      </c>
      <c r="IO164" s="268"/>
      <c r="IP164" s="268"/>
      <c r="IQ164" s="268"/>
      <c r="IR164" s="268"/>
      <c r="IS164" s="268"/>
      <c r="IT164" s="268">
        <v>0</v>
      </c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</row>
    <row r="165" spans="1:319" s="12" customFormat="1" ht="18" customHeight="1" x14ac:dyDescent="0.25">
      <c r="A165" s="14"/>
      <c r="B165" s="13" t="s">
        <v>379</v>
      </c>
      <c r="C165" s="1">
        <v>10740</v>
      </c>
      <c r="D165" s="1"/>
      <c r="E165" s="4" t="s">
        <v>378</v>
      </c>
      <c r="F165" s="1">
        <v>8431</v>
      </c>
      <c r="G165" s="11" t="s">
        <v>432</v>
      </c>
      <c r="H165" s="4" t="s">
        <v>380</v>
      </c>
      <c r="I165" s="1">
        <f>SUM(K165:LG165)</f>
        <v>0</v>
      </c>
      <c r="J165" s="14">
        <f>I165</f>
        <v>0</v>
      </c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>
        <v>0</v>
      </c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</row>
    <row r="166" spans="1:319" s="12" customFormat="1" ht="18" customHeight="1" x14ac:dyDescent="0.25">
      <c r="A166" s="14"/>
      <c r="B166" s="13" t="s">
        <v>480</v>
      </c>
      <c r="C166" s="1">
        <v>7232</v>
      </c>
      <c r="D166" s="1"/>
      <c r="E166" s="4" t="s">
        <v>477</v>
      </c>
      <c r="F166" s="1">
        <v>8051</v>
      </c>
      <c r="G166" s="11" t="s">
        <v>437</v>
      </c>
      <c r="H166" t="s">
        <v>479</v>
      </c>
      <c r="I166" s="1">
        <f>SUM(K166:LG166)</f>
        <v>0</v>
      </c>
      <c r="J166" s="14">
        <f>I166</f>
        <v>0</v>
      </c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268"/>
      <c r="KW166" s="268"/>
      <c r="KX166" s="268"/>
      <c r="KY166" s="268"/>
      <c r="KZ166" s="268"/>
      <c r="LA166" s="268"/>
      <c r="LB166" s="268"/>
      <c r="LC166" s="268">
        <v>0</v>
      </c>
      <c r="LD166" s="268"/>
      <c r="LE166" s="268">
        <v>0</v>
      </c>
      <c r="LF166" s="1"/>
      <c r="LG166" s="1"/>
    </row>
    <row r="167" spans="1:319" s="12" customFormat="1" ht="18" customHeight="1" x14ac:dyDescent="0.25">
      <c r="A167" s="14"/>
      <c r="B167" s="13" t="s">
        <v>312</v>
      </c>
      <c r="C167" s="1">
        <v>10991</v>
      </c>
      <c r="D167" s="1"/>
      <c r="E167" t="s">
        <v>308</v>
      </c>
      <c r="F167" s="1">
        <v>6761</v>
      </c>
      <c r="G167" s="11" t="s">
        <v>432</v>
      </c>
      <c r="H167" t="s">
        <v>137</v>
      </c>
      <c r="I167" s="1">
        <f>SUM(K167:LG167)</f>
        <v>0</v>
      </c>
      <c r="J167" s="14">
        <f t="shared" ref="J167:J168" si="19">I167</f>
        <v>0</v>
      </c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>
        <v>0</v>
      </c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</row>
    <row r="168" spans="1:319" s="12" customFormat="1" ht="18" customHeight="1" x14ac:dyDescent="0.25">
      <c r="A168" s="14"/>
      <c r="B168" s="63" t="s">
        <v>448</v>
      </c>
      <c r="C168" s="1">
        <v>10198</v>
      </c>
      <c r="D168" s="1">
        <v>2014</v>
      </c>
      <c r="E168" t="s">
        <v>308</v>
      </c>
      <c r="F168" s="1">
        <v>6761</v>
      </c>
      <c r="G168" s="11" t="s">
        <v>432</v>
      </c>
      <c r="H168" t="s">
        <v>137</v>
      </c>
      <c r="I168" s="1">
        <f>SUM(K168:LG168)</f>
        <v>0</v>
      </c>
      <c r="J168" s="14">
        <f t="shared" si="19"/>
        <v>0</v>
      </c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</row>
    <row r="169" spans="1:319" s="12" customFormat="1" ht="18" customHeight="1" x14ac:dyDescent="0.25">
      <c r="A169" s="14"/>
      <c r="B169" s="63"/>
      <c r="C169" s="1"/>
      <c r="D169" s="1"/>
      <c r="E169" t="s">
        <v>290</v>
      </c>
      <c r="F169" s="1">
        <v>6693</v>
      </c>
      <c r="G169" s="11" t="s">
        <v>436</v>
      </c>
      <c r="H169"/>
      <c r="I169" s="1">
        <f>SUM(K169:LG169)</f>
        <v>0</v>
      </c>
      <c r="J169" s="66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>
        <v>0</v>
      </c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</row>
    <row r="170" spans="1:319" s="12" customFormat="1" ht="18" customHeight="1" x14ac:dyDescent="0.25">
      <c r="A170" s="14"/>
      <c r="B170" s="63" t="s">
        <v>293</v>
      </c>
      <c r="C170" s="1">
        <v>11409</v>
      </c>
      <c r="D170" s="1"/>
      <c r="E170" t="s">
        <v>290</v>
      </c>
      <c r="F170" s="1">
        <v>6693</v>
      </c>
      <c r="G170" s="11" t="s">
        <v>436</v>
      </c>
      <c r="H170" s="4" t="s">
        <v>137</v>
      </c>
      <c r="I170" s="1">
        <f>SUM(K170:LG170)</f>
        <v>0</v>
      </c>
      <c r="J170" s="14">
        <f>Tabuľka3[[#This Row],[Stĺpec9]]</f>
        <v>0</v>
      </c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>
        <v>0</v>
      </c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>
        <v>0</v>
      </c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</row>
    <row r="171" spans="1:319" s="12" customFormat="1" ht="18" customHeight="1" x14ac:dyDescent="0.25">
      <c r="A171" s="14"/>
      <c r="B171" s="25"/>
      <c r="C171" s="29"/>
      <c r="D171" s="1"/>
      <c r="E171" t="s">
        <v>308</v>
      </c>
      <c r="F171" s="1">
        <v>6761</v>
      </c>
      <c r="G171" s="11" t="s">
        <v>432</v>
      </c>
      <c r="H171"/>
      <c r="I171" s="1">
        <f>SUM(K171:LG171)</f>
        <v>0</v>
      </c>
      <c r="J171" s="14">
        <f>Tabuľka3[[#This Row],[Stĺpec9]]</f>
        <v>0</v>
      </c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>
        <v>0</v>
      </c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</row>
    <row r="172" spans="1:319" s="12" customFormat="1" ht="18" customHeight="1" x14ac:dyDescent="0.25">
      <c r="A172" s="14"/>
      <c r="B172" s="275" t="s">
        <v>346</v>
      </c>
      <c r="C172" s="270">
        <v>7682</v>
      </c>
      <c r="D172" s="1"/>
      <c r="E172" s="264" t="s">
        <v>343</v>
      </c>
      <c r="F172" s="270">
        <v>8268</v>
      </c>
      <c r="G172" s="11" t="s">
        <v>432</v>
      </c>
      <c r="H172" s="264" t="s">
        <v>345</v>
      </c>
      <c r="I172" s="1">
        <f>SUM(K172:LG172)</f>
        <v>0</v>
      </c>
      <c r="J172" s="14">
        <f>I172</f>
        <v>0</v>
      </c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>
        <v>0</v>
      </c>
      <c r="HG172" s="1">
        <v>0</v>
      </c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</row>
    <row r="173" spans="1:319" s="12" customFormat="1" ht="18" customHeight="1" x14ac:dyDescent="0.25">
      <c r="A173" s="14"/>
      <c r="B173" s="13" t="s">
        <v>475</v>
      </c>
      <c r="C173" s="1">
        <v>6646</v>
      </c>
      <c r="D173" s="1"/>
      <c r="E173" s="4" t="s">
        <v>474</v>
      </c>
      <c r="F173" s="1">
        <v>9002</v>
      </c>
      <c r="G173" s="11" t="s">
        <v>437</v>
      </c>
      <c r="H173" t="s">
        <v>476</v>
      </c>
      <c r="I173" s="1">
        <f>SUM(K173:LG173)</f>
        <v>0</v>
      </c>
      <c r="J173" s="14">
        <f t="shared" ref="J173:J176" si="20">I173</f>
        <v>0</v>
      </c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268"/>
      <c r="KD173" s="268">
        <v>0</v>
      </c>
      <c r="KE173" s="268"/>
      <c r="KF173" s="268"/>
      <c r="KG173" s="268"/>
      <c r="KH173" s="268">
        <v>0</v>
      </c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</row>
    <row r="174" spans="1:319" s="12" customFormat="1" ht="18" customHeight="1" x14ac:dyDescent="0.25">
      <c r="A174" s="14"/>
      <c r="B174" s="13" t="s">
        <v>375</v>
      </c>
      <c r="C174" s="1">
        <v>10631</v>
      </c>
      <c r="D174" s="1">
        <v>2013</v>
      </c>
      <c r="E174" s="4" t="s">
        <v>374</v>
      </c>
      <c r="F174" s="1">
        <v>8610</v>
      </c>
      <c r="G174" s="11" t="s">
        <v>432</v>
      </c>
      <c r="H174" s="4" t="s">
        <v>206</v>
      </c>
      <c r="I174" s="1">
        <f>SUM(K174:LG174)</f>
        <v>0</v>
      </c>
      <c r="J174" s="14">
        <f t="shared" si="20"/>
        <v>0</v>
      </c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>
        <v>0</v>
      </c>
      <c r="CM174" s="1"/>
      <c r="CN174" s="1"/>
      <c r="CO174" s="1"/>
      <c r="CP174" s="1"/>
      <c r="CQ174" s="1"/>
      <c r="CR174" s="1">
        <v>0</v>
      </c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268"/>
      <c r="JU174" s="268">
        <v>0</v>
      </c>
      <c r="JV174" s="268"/>
      <c r="JW174" s="268">
        <v>0</v>
      </c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</row>
    <row r="175" spans="1:319" s="12" customFormat="1" ht="18" customHeight="1" x14ac:dyDescent="0.25">
      <c r="A175" s="14"/>
      <c r="B175" s="13" t="s">
        <v>366</v>
      </c>
      <c r="C175" s="1">
        <v>10998</v>
      </c>
      <c r="D175" s="1">
        <v>2013</v>
      </c>
      <c r="E175" s="4" t="s">
        <v>365</v>
      </c>
      <c r="F175" s="1">
        <v>8891</v>
      </c>
      <c r="G175" s="11" t="s">
        <v>432</v>
      </c>
      <c r="H175" s="4" t="s">
        <v>284</v>
      </c>
      <c r="I175" s="1">
        <f>SUM(K175:LG175)</f>
        <v>0</v>
      </c>
      <c r="J175" s="14">
        <f t="shared" si="20"/>
        <v>0</v>
      </c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>
        <v>0</v>
      </c>
      <c r="FI175" s="1">
        <v>0</v>
      </c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</row>
    <row r="176" spans="1:319" s="12" customFormat="1" ht="18" customHeight="1" x14ac:dyDescent="0.25">
      <c r="A176" s="14"/>
      <c r="B176" s="13" t="s">
        <v>256</v>
      </c>
      <c r="C176" s="1">
        <v>11112</v>
      </c>
      <c r="D176" s="29"/>
      <c r="E176" s="273" t="s">
        <v>255</v>
      </c>
      <c r="F176" s="1">
        <v>4911</v>
      </c>
      <c r="G176" s="11" t="s">
        <v>434</v>
      </c>
      <c r="H176" t="s">
        <v>241</v>
      </c>
      <c r="I176" s="1">
        <f>SUM(K176:LG176)</f>
        <v>0</v>
      </c>
      <c r="J176" s="14">
        <f t="shared" si="20"/>
        <v>0</v>
      </c>
      <c r="K176" s="14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>
        <v>0</v>
      </c>
      <c r="GG176" s="1"/>
      <c r="GH176" s="1">
        <v>0</v>
      </c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</row>
    <row r="177" spans="1:319" s="12" customFormat="1" ht="18" customHeight="1" x14ac:dyDescent="0.25">
      <c r="A177" s="14"/>
      <c r="B177" s="13" t="s">
        <v>424</v>
      </c>
      <c r="C177" s="1">
        <v>11400</v>
      </c>
      <c r="D177" s="1"/>
      <c r="E177" t="s">
        <v>423</v>
      </c>
      <c r="F177" s="1">
        <v>8872</v>
      </c>
      <c r="G177" s="11" t="s">
        <v>437</v>
      </c>
      <c r="H177" s="4" t="s">
        <v>137</v>
      </c>
      <c r="I177" s="1">
        <f>SUM(K177:LG177)</f>
        <v>0</v>
      </c>
      <c r="J177" s="14">
        <f>Tabuľka3[[#This Row],[Stĺpec221]]+Tabuľka3[[#This Row],[Stĺpec198]]+Tabuľka3[[#This Row],[Stĺpec129]]+Tabuľka3[[#This Row],[Stĺpec124]]+Tabuľka3[[#This Row],[Stĺpec105]]+Tabuľka3[[#This Row],[Stĺpec97]]+Tabuľka3[[#This Row],[Stĺpec96]]+Tabuľka3[[#This Row],[Stĺpec70]]+Tabuľka3[[#This Row],[Stĺpec43]]+Tabuľka3[[#This Row],[Stĺpec42]]+Tabuľka3[[#This Row],[Stĺpec40]]+Tabuľka3[[#This Row],[Stĺpec39]]+Tabuľka3[[#This Row],[Stĺpec36]]+Tabuľka3[[#This Row],[Stĺpec35]]+Tabuľka3[[#This Row],[Stĺpec30]]</f>
        <v>0</v>
      </c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>
        <v>0</v>
      </c>
      <c r="Z177" s="1"/>
      <c r="AA177" s="1"/>
      <c r="AB177" s="1"/>
      <c r="AC177" s="1"/>
      <c r="AD177" s="1">
        <v>0</v>
      </c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</row>
    <row r="178" spans="1:319" s="12" customFormat="1" ht="18" customHeight="1" x14ac:dyDescent="0.25">
      <c r="A178" s="14"/>
      <c r="B178" s="25"/>
      <c r="C178" s="29"/>
      <c r="D178" s="1"/>
      <c r="E178" t="s">
        <v>421</v>
      </c>
      <c r="F178" s="1">
        <v>8399</v>
      </c>
      <c r="G178" s="11" t="s">
        <v>437</v>
      </c>
      <c r="H178" s="4"/>
      <c r="I178" s="1">
        <f>SUM(K178:LG178)</f>
        <v>0</v>
      </c>
      <c r="J178" s="66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/>
      <c r="EC178">
        <v>0</v>
      </c>
      <c r="ED178"/>
      <c r="EE178"/>
      <c r="EF178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</row>
    <row r="179" spans="1:319" s="12" customFormat="1" ht="18" customHeight="1" x14ac:dyDescent="0.25">
      <c r="A179" s="14"/>
      <c r="B179" s="13" t="s">
        <v>373</v>
      </c>
      <c r="C179" s="1">
        <v>6647</v>
      </c>
      <c r="D179" s="1">
        <v>2004</v>
      </c>
      <c r="E179" s="4" t="s">
        <v>372</v>
      </c>
      <c r="F179" s="1">
        <v>6668</v>
      </c>
      <c r="G179" s="11" t="s">
        <v>432</v>
      </c>
      <c r="H179" t="s">
        <v>251</v>
      </c>
      <c r="I179" s="1">
        <f>SUM(K179:LG179)</f>
        <v>0</v>
      </c>
      <c r="J179" s="14">
        <f>I179</f>
        <v>0</v>
      </c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274"/>
      <c r="JU179" s="274">
        <v>0</v>
      </c>
      <c r="JV179" s="274"/>
      <c r="JW179" s="274">
        <v>0</v>
      </c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</row>
    <row r="180" spans="1:319" s="242" customFormat="1" ht="18" customHeight="1" x14ac:dyDescent="0.25">
      <c r="A180" s="238">
        <v>159</v>
      </c>
      <c r="B180" s="244" t="s">
        <v>265</v>
      </c>
      <c r="C180" s="240"/>
      <c r="D180" s="240"/>
      <c r="F180" s="240"/>
      <c r="G180" s="240"/>
      <c r="I180" s="240"/>
      <c r="J180" s="245"/>
      <c r="K180" s="240"/>
      <c r="L180" s="240"/>
      <c r="M180" s="240"/>
      <c r="N180" s="240"/>
      <c r="O180" s="240"/>
      <c r="P180" s="240"/>
      <c r="Q180" s="240"/>
      <c r="R180" s="240"/>
      <c r="S180" s="240"/>
      <c r="T180" s="240"/>
      <c r="U180" s="240"/>
      <c r="V180" s="240"/>
      <c r="W180" s="240"/>
      <c r="X180" s="240"/>
      <c r="Y180" s="240"/>
      <c r="Z180" s="240"/>
      <c r="AA180" s="240"/>
      <c r="AB180" s="240"/>
      <c r="AC180" s="240"/>
      <c r="AD180" s="240"/>
      <c r="AE180" s="240"/>
      <c r="AF180" s="240"/>
      <c r="AG180" s="240"/>
      <c r="AH180" s="240"/>
      <c r="AI180" s="240"/>
      <c r="AJ180" s="240"/>
      <c r="AK180" s="240"/>
      <c r="AL180" s="240"/>
      <c r="AM180" s="240"/>
      <c r="AN180" s="240"/>
      <c r="AO180" s="240"/>
      <c r="AP180" s="240"/>
      <c r="AQ180" s="240"/>
      <c r="AR180" s="240"/>
      <c r="AS180" s="240"/>
      <c r="AT180" s="240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  <c r="GD180" s="240"/>
      <c r="GE180" s="240"/>
      <c r="GF180" s="240"/>
      <c r="GG180" s="240"/>
      <c r="GH180" s="240"/>
      <c r="GI180" s="240"/>
      <c r="GJ180" s="240"/>
      <c r="GK180" s="240"/>
      <c r="GL180" s="240"/>
      <c r="GM180" s="240"/>
      <c r="GN180" s="240"/>
      <c r="GO180" s="240"/>
      <c r="GP180" s="240"/>
      <c r="GQ180" s="240"/>
      <c r="GR180" s="240"/>
      <c r="GS180" s="240"/>
      <c r="GT180" s="240"/>
      <c r="GU180" s="240"/>
      <c r="GV180" s="240"/>
      <c r="GW180" s="240"/>
      <c r="GX180" s="240"/>
      <c r="GY180" s="240"/>
      <c r="GZ180" s="240"/>
      <c r="HA180" s="240"/>
      <c r="HB180" s="240"/>
      <c r="HC180" s="240"/>
      <c r="HD180" s="240"/>
      <c r="HE180" s="240"/>
      <c r="HF180" s="240"/>
      <c r="HG180" s="240"/>
      <c r="HH180" s="240"/>
      <c r="HI180" s="240"/>
      <c r="HJ180" s="240"/>
      <c r="HK180" s="240"/>
      <c r="HL180" s="240"/>
      <c r="HM180" s="240"/>
      <c r="HN180" s="240"/>
      <c r="HO180" s="240"/>
      <c r="HP180" s="240"/>
      <c r="HQ180" s="240"/>
      <c r="HR180" s="240"/>
      <c r="HS180" s="240"/>
      <c r="HT180" s="240"/>
      <c r="HU180" s="240"/>
      <c r="HV180" s="240"/>
      <c r="HW180" s="240"/>
      <c r="HX180" s="240"/>
      <c r="HY180" s="240"/>
      <c r="HZ180" s="240"/>
      <c r="IA180" s="240"/>
      <c r="IB180" s="240"/>
      <c r="IC180" s="240"/>
      <c r="ID180" s="240"/>
      <c r="IE180" s="240"/>
      <c r="IF180" s="240"/>
      <c r="IG180" s="240"/>
      <c r="IH180" s="240"/>
      <c r="II180" s="240"/>
      <c r="IJ180" s="240"/>
      <c r="IK180" s="240"/>
      <c r="IL180" s="240"/>
      <c r="IM180" s="240"/>
      <c r="IN180" s="240"/>
      <c r="IO180" s="240"/>
      <c r="IP180" s="240"/>
      <c r="IQ180" s="240"/>
      <c r="IR180" s="240"/>
      <c r="IS180" s="240"/>
      <c r="IT180" s="240"/>
      <c r="IU180" s="240"/>
      <c r="IV180" s="240"/>
      <c r="IW180" s="240"/>
      <c r="IX180" s="240"/>
      <c r="IY180" s="240"/>
      <c r="IZ180" s="240"/>
      <c r="JA180" s="240"/>
      <c r="JB180" s="240"/>
      <c r="JC180" s="240"/>
      <c r="JD180" s="240"/>
      <c r="JE180" s="240"/>
      <c r="JF180" s="240"/>
      <c r="JG180" s="240"/>
      <c r="JH180" s="240"/>
      <c r="JI180" s="240"/>
      <c r="JJ180" s="240"/>
      <c r="JK180" s="240"/>
      <c r="JL180" s="240"/>
      <c r="JM180" s="240"/>
      <c r="JN180" s="240"/>
      <c r="JO180" s="240"/>
      <c r="JP180" s="240"/>
      <c r="JQ180" s="240"/>
      <c r="JR180" s="240"/>
      <c r="JS180" s="240"/>
      <c r="JT180" s="240"/>
      <c r="JU180" s="240"/>
      <c r="JV180" s="240"/>
      <c r="JW180" s="240"/>
      <c r="JX180" s="240"/>
      <c r="JY180" s="240"/>
      <c r="JZ180" s="240"/>
      <c r="KA180" s="240"/>
      <c r="KB180" s="240"/>
      <c r="KC180" s="240"/>
      <c r="KD180" s="240"/>
      <c r="KE180" s="240"/>
      <c r="KF180" s="240"/>
      <c r="KG180" s="240"/>
      <c r="KH180" s="240"/>
      <c r="KI180" s="240"/>
      <c r="KJ180" s="240"/>
      <c r="KK180" s="240"/>
      <c r="KL180" s="240"/>
      <c r="KM180" s="240"/>
      <c r="KN180" s="240"/>
      <c r="KO180" s="240"/>
      <c r="KP180" s="240"/>
      <c r="KQ180" s="240"/>
      <c r="KR180" s="240"/>
      <c r="KS180" s="240"/>
      <c r="KT180" s="240"/>
      <c r="KU180" s="240"/>
      <c r="KV180" s="240"/>
      <c r="KW180" s="240"/>
      <c r="KX180" s="240"/>
      <c r="KY180" s="240"/>
      <c r="KZ180" s="240"/>
      <c r="LA180" s="240"/>
      <c r="LB180" s="240"/>
      <c r="LC180" s="240"/>
      <c r="LD180" s="240"/>
      <c r="LE180" s="240"/>
      <c r="LF180" s="240"/>
      <c r="LG180" s="240"/>
    </row>
    <row r="181" spans="1:319" ht="17.25" customHeight="1" x14ac:dyDescent="0.25"/>
    <row r="182" spans="1:319" ht="17.25" customHeight="1" x14ac:dyDescent="0.25"/>
    <row r="183" spans="1:319" ht="17.25" customHeight="1" x14ac:dyDescent="0.25"/>
  </sheetData>
  <sortState ref="A39:OO79">
    <sortCondition descending="1" ref="J39:J79"/>
  </sortState>
  <mergeCells count="12">
    <mergeCell ref="A1:H1"/>
    <mergeCell ref="A3:H3"/>
    <mergeCell ref="H5:H7"/>
    <mergeCell ref="I5:I7"/>
    <mergeCell ref="J5:J7"/>
    <mergeCell ref="C5:C7"/>
    <mergeCell ref="F5:F7"/>
    <mergeCell ref="A5:A7"/>
    <mergeCell ref="B5:B7"/>
    <mergeCell ref="D5:D7"/>
    <mergeCell ref="E5:E7"/>
    <mergeCell ref="G5:G7"/>
  </mergeCells>
  <conditionalFormatting sqref="J28:J29">
    <cfRule type="top10" priority="76" rank="10"/>
  </conditionalFormatting>
  <conditionalFormatting sqref="FH56:HL56">
    <cfRule type="top10" dxfId="23" priority="25" rank="15"/>
  </conditionalFormatting>
  <conditionalFormatting sqref="FH68:HL68">
    <cfRule type="top10" dxfId="22" priority="24" rank="15"/>
  </conditionalFormatting>
  <conditionalFormatting sqref="FH25:HL25">
    <cfRule type="top10" dxfId="21" priority="21" rank="15"/>
  </conditionalFormatting>
  <conditionalFormatting sqref="FH35:HL35">
    <cfRule type="top10" dxfId="20" priority="20" rank="15"/>
  </conditionalFormatting>
  <conditionalFormatting sqref="FH32:HL32">
    <cfRule type="top10" dxfId="19" priority="19" rank="15"/>
  </conditionalFormatting>
  <conditionalFormatting sqref="FH79:HL79">
    <cfRule type="top10" dxfId="18" priority="18" rank="15"/>
  </conditionalFormatting>
  <conditionalFormatting sqref="K20:V20 HB20:IM20 X20:GZ20">
    <cfRule type="top10" dxfId="17" priority="17" rank="15"/>
  </conditionalFormatting>
  <conditionalFormatting sqref="FH55:HL55 FH36:HL36">
    <cfRule type="top10" dxfId="16" priority="77" rank="15"/>
  </conditionalFormatting>
  <conditionalFormatting sqref="KC81:KI81">
    <cfRule type="top10" dxfId="15" priority="2" rank="15"/>
  </conditionalFormatting>
  <conditionalFormatting sqref="K9:LG9">
    <cfRule type="top10" dxfId="14" priority="149" rank="15"/>
  </conditionalFormatting>
  <conditionalFormatting sqref="K11:LG11">
    <cfRule type="top10" dxfId="13" priority="150" rank="15"/>
  </conditionalFormatting>
  <conditionalFormatting sqref="K15:LG15">
    <cfRule type="top10" dxfId="12" priority="151" rank="15"/>
  </conditionalFormatting>
  <conditionalFormatting sqref="K16:DW16 FU16:GS16 DY16:FS16 GU16:IP16 IS16:LG16">
    <cfRule type="top10" dxfId="11" priority="152" rank="15"/>
  </conditionalFormatting>
  <conditionalFormatting sqref="K29:LG29 K28:BD28 EM28:GU28 DV28:EK28 JV28:LG28 GY28:JT28 GW28 BF28:DT28">
    <cfRule type="top10" dxfId="10" priority="157" rank="15"/>
  </conditionalFormatting>
  <conditionalFormatting sqref="K10:IU10 IZ10:JQ10 JS10:LG10">
    <cfRule type="top10" dxfId="9" priority="165" rank="15"/>
  </conditionalFormatting>
  <conditionalFormatting sqref="K19:LG19">
    <cfRule type="top10" dxfId="8" priority="168" rank="15"/>
  </conditionalFormatting>
  <conditionalFormatting sqref="K8:GL8 GN8:LG8">
    <cfRule type="top10" dxfId="7" priority="169" rank="15"/>
  </conditionalFormatting>
  <conditionalFormatting sqref="K13:JJ13 JL13:LG13">
    <cfRule type="top10" dxfId="6" priority="171" rank="15"/>
  </conditionalFormatting>
  <conditionalFormatting sqref="K27:LG27">
    <cfRule type="top10" dxfId="5" priority="173" rank="15"/>
  </conditionalFormatting>
  <conditionalFormatting sqref="K46:GN46 GP46:HU46 HW46:JH46 JJ46:JT46 JV46:LG46">
    <cfRule type="top10" dxfId="4" priority="174" rank="15"/>
  </conditionalFormatting>
  <conditionalFormatting sqref="K21:LG21">
    <cfRule type="top10" dxfId="3" priority="1" rank="1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MN49"/>
  <sheetViews>
    <sheetView showGridLines="0" zoomScaleNormal="100" workbookViewId="0">
      <pane xSplit="10" ySplit="7" topLeftCell="K8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3.2" x14ac:dyDescent="0.25"/>
  <cols>
    <col min="1" max="1" width="9.44140625" style="14" customWidth="1"/>
    <col min="2" max="2" width="22.6640625" style="13" customWidth="1"/>
    <col min="3" max="3" width="10.6640625" style="1" customWidth="1"/>
    <col min="4" max="4" width="9.44140625" style="29" customWidth="1"/>
    <col min="5" max="5" width="20" customWidth="1"/>
    <col min="6" max="6" width="10.109375" style="1" customWidth="1"/>
    <col min="7" max="7" width="9.88671875" style="1" customWidth="1"/>
    <col min="8" max="8" width="25.33203125" bestFit="1" customWidth="1"/>
    <col min="9" max="9" width="9.88671875" style="1" customWidth="1"/>
    <col min="10" max="10" width="10.44140625" style="14" customWidth="1"/>
    <col min="11" max="31" width="4.6640625" style="1" customWidth="1"/>
    <col min="32" max="32" width="6" style="1" customWidth="1"/>
    <col min="33" max="33" width="6.88671875" style="1" customWidth="1"/>
    <col min="34" max="58" width="4.6640625" style="1" customWidth="1"/>
    <col min="59" max="59" width="7.6640625" style="1" customWidth="1"/>
    <col min="60" max="60" width="6.44140625" style="1" customWidth="1"/>
    <col min="61" max="62" width="4.6640625" style="1" customWidth="1"/>
    <col min="63" max="63" width="6.109375" style="1" customWidth="1"/>
    <col min="64" max="64" width="5.6640625" style="1" customWidth="1"/>
    <col min="65" max="65" width="6.109375" style="1" customWidth="1"/>
    <col min="66" max="66" width="6.33203125" style="1" customWidth="1"/>
    <col min="67" max="67" width="6.6640625" style="1" customWidth="1"/>
    <col min="68" max="68" width="7.88671875" style="1" customWidth="1"/>
    <col min="69" max="74" width="4.6640625" style="1" customWidth="1"/>
    <col min="75" max="75" width="10.33203125" style="1" customWidth="1"/>
    <col min="76" max="76" width="6" style="1" customWidth="1"/>
    <col min="77" max="77" width="6.33203125" style="1" customWidth="1"/>
    <col min="78" max="79" width="4.6640625" style="1" customWidth="1"/>
    <col min="80" max="80" width="6" style="1" customWidth="1"/>
    <col min="81" max="81" width="5.6640625" style="1" customWidth="1"/>
    <col min="82" max="82" width="9.33203125" style="1" customWidth="1"/>
    <col min="83" max="83" width="6.44140625" style="1" customWidth="1"/>
    <col min="84" max="84" width="5.88671875" style="1" customWidth="1"/>
    <col min="85" max="85" width="6.44140625" style="1" customWidth="1"/>
    <col min="86" max="87" width="4.6640625" style="1" customWidth="1"/>
    <col min="88" max="88" width="10.33203125" style="1" customWidth="1"/>
    <col min="89" max="163" width="4.6640625" style="1" customWidth="1"/>
    <col min="164" max="164" width="5.33203125" style="1" customWidth="1"/>
    <col min="165" max="165" width="5.6640625" style="1" customWidth="1"/>
    <col min="166" max="166" width="5.109375" style="1" customWidth="1"/>
    <col min="167" max="167" width="7.88671875" style="1" customWidth="1"/>
    <col min="168" max="168" width="7.5546875" style="1" customWidth="1"/>
    <col min="169" max="217" width="4.6640625" style="1" customWidth="1"/>
    <col min="218" max="219" width="6.33203125" style="1" customWidth="1"/>
    <col min="220" max="220" width="12.109375" style="1" customWidth="1"/>
    <col min="221" max="259" width="4.6640625" style="1" customWidth="1"/>
    <col min="260" max="260" width="5.33203125" style="1" customWidth="1"/>
    <col min="261" max="261" width="5.88671875" style="1" customWidth="1"/>
    <col min="262" max="264" width="4.6640625" style="1" customWidth="1"/>
    <col min="265" max="265" width="6.6640625" style="1" customWidth="1"/>
    <col min="266" max="266" width="5.5546875" style="1" customWidth="1"/>
    <col min="267" max="267" width="8.109375" style="1" customWidth="1"/>
    <col min="268" max="278" width="4.6640625" style="1" customWidth="1"/>
    <col min="279" max="279" width="9.88671875" style="1" customWidth="1"/>
    <col min="280" max="318" width="4.6640625" style="1" customWidth="1"/>
    <col min="319" max="319" width="5.33203125" style="1" customWidth="1"/>
  </cols>
  <sheetData>
    <row r="1" spans="1:319" ht="24.9" customHeight="1" x14ac:dyDescent="0.4">
      <c r="A1" s="380" t="s">
        <v>449</v>
      </c>
      <c r="B1" s="380"/>
      <c r="C1" s="380"/>
      <c r="D1" s="380"/>
      <c r="E1" s="380"/>
      <c r="F1" s="380"/>
      <c r="G1" s="380"/>
      <c r="H1" s="380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  <c r="IW1" s="16"/>
      <c r="IX1" s="16"/>
      <c r="IY1" s="16"/>
      <c r="IZ1" s="16"/>
      <c r="JA1" s="16"/>
      <c r="JB1" s="16"/>
      <c r="JC1" s="16"/>
      <c r="JD1" s="16"/>
      <c r="JE1" s="16"/>
      <c r="JF1" s="16"/>
      <c r="JG1" s="16"/>
      <c r="JH1" s="16"/>
      <c r="JI1" s="16"/>
      <c r="JJ1" s="16"/>
      <c r="JK1" s="16"/>
      <c r="JL1" s="16"/>
      <c r="JM1" s="16"/>
      <c r="JN1" s="16"/>
      <c r="JO1" s="16"/>
      <c r="JP1" s="16"/>
      <c r="JQ1" s="16"/>
      <c r="JR1" s="16"/>
      <c r="JS1" s="16"/>
      <c r="JT1" s="16"/>
      <c r="JU1" s="16"/>
      <c r="JV1" s="16"/>
      <c r="JW1" s="16"/>
      <c r="JX1" s="16"/>
      <c r="JY1" s="16"/>
      <c r="JZ1" s="16"/>
      <c r="KA1" s="16"/>
      <c r="KB1" s="16"/>
      <c r="KC1" s="16"/>
      <c r="KD1" s="16"/>
      <c r="KE1" s="16"/>
      <c r="KF1" s="16"/>
      <c r="KG1" s="16"/>
      <c r="KH1" s="16"/>
      <c r="KI1" s="16"/>
      <c r="KJ1" s="16"/>
      <c r="KK1" s="16"/>
      <c r="KL1" s="16"/>
      <c r="KM1" s="16"/>
      <c r="KN1" s="16"/>
      <c r="KO1" s="16"/>
      <c r="KP1" s="16"/>
      <c r="KQ1" s="16"/>
      <c r="KR1" s="16"/>
      <c r="KS1" s="16"/>
      <c r="KT1" s="16"/>
      <c r="KU1" s="16"/>
      <c r="KV1" s="16"/>
      <c r="KW1" s="16"/>
      <c r="KX1" s="16"/>
      <c r="KY1" s="16"/>
      <c r="KZ1" s="16"/>
      <c r="LA1" s="16"/>
      <c r="LB1" s="16"/>
      <c r="LC1" s="16"/>
      <c r="LD1" s="16"/>
      <c r="LE1" s="16"/>
      <c r="LF1" s="16"/>
      <c r="LG1" s="16"/>
    </row>
    <row r="2" spans="1:319" ht="15" customHeight="1" x14ac:dyDescent="0.4">
      <c r="A2" s="104"/>
      <c r="B2" s="91"/>
      <c r="C2" s="92"/>
      <c r="D2" s="93"/>
      <c r="E2" s="92"/>
      <c r="F2" s="92"/>
      <c r="G2" s="92"/>
      <c r="H2" s="92"/>
      <c r="I2" s="11" t="s">
        <v>1</v>
      </c>
      <c r="K2" s="74" t="s">
        <v>1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</row>
    <row r="3" spans="1:319" ht="24.9" customHeight="1" x14ac:dyDescent="0.4">
      <c r="A3" s="380">
        <v>2021</v>
      </c>
      <c r="B3" s="380"/>
      <c r="C3" s="380"/>
      <c r="D3" s="380"/>
      <c r="E3" s="380"/>
      <c r="F3" s="380"/>
      <c r="G3" s="380"/>
      <c r="H3" s="380"/>
      <c r="J3" s="14" t="s">
        <v>1</v>
      </c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 t="s">
        <v>1</v>
      </c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 t="s">
        <v>1</v>
      </c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 t="s">
        <v>1</v>
      </c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</row>
    <row r="4" spans="1:319" ht="15" customHeight="1" x14ac:dyDescent="0.25">
      <c r="D4" s="1"/>
    </row>
    <row r="5" spans="1:319" s="59" customFormat="1" ht="14.4" x14ac:dyDescent="0.3">
      <c r="A5" s="381" t="s">
        <v>3</v>
      </c>
      <c r="B5" s="384" t="s">
        <v>6</v>
      </c>
      <c r="C5" s="384" t="s">
        <v>5</v>
      </c>
      <c r="D5" s="384" t="s">
        <v>7</v>
      </c>
      <c r="E5" s="384" t="s">
        <v>4</v>
      </c>
      <c r="F5" s="384" t="s">
        <v>5</v>
      </c>
      <c r="G5" s="384" t="s">
        <v>430</v>
      </c>
      <c r="H5" s="384" t="s">
        <v>8</v>
      </c>
      <c r="I5" s="377" t="s">
        <v>9</v>
      </c>
      <c r="J5" s="377" t="s">
        <v>387</v>
      </c>
      <c r="K5" s="94" t="s">
        <v>11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6"/>
      <c r="Y5" s="94" t="s">
        <v>12</v>
      </c>
      <c r="Z5" s="94"/>
      <c r="AA5" s="94"/>
      <c r="AB5" s="94"/>
      <c r="AC5" s="94"/>
      <c r="AD5" s="94"/>
      <c r="AE5" s="94"/>
      <c r="AF5" s="95" t="s">
        <v>12</v>
      </c>
      <c r="AG5" s="96"/>
      <c r="AH5" s="94" t="s">
        <v>13</v>
      </c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116"/>
      <c r="AT5" s="94" t="s">
        <v>14</v>
      </c>
      <c r="AU5" s="94"/>
      <c r="AV5" s="94"/>
      <c r="AW5" s="95" t="s">
        <v>15</v>
      </c>
      <c r="AX5" s="94"/>
      <c r="AY5" s="94"/>
      <c r="AZ5" s="94"/>
      <c r="BA5" s="94"/>
      <c r="BB5" s="94"/>
      <c r="BC5" s="94"/>
      <c r="BD5" s="94"/>
      <c r="BE5" s="94"/>
      <c r="BF5" s="94"/>
      <c r="BG5" s="94"/>
      <c r="BH5" s="94"/>
      <c r="BI5" s="94"/>
      <c r="BJ5" s="96"/>
      <c r="BK5" s="219" t="s">
        <v>16</v>
      </c>
      <c r="BL5" s="220"/>
      <c r="BM5" s="221" t="s">
        <v>16</v>
      </c>
      <c r="BN5" s="222"/>
      <c r="BO5" s="220" t="s">
        <v>17</v>
      </c>
      <c r="BP5" s="220"/>
      <c r="BQ5" s="223" t="s">
        <v>18</v>
      </c>
      <c r="BR5" s="224"/>
      <c r="BS5" s="224"/>
      <c r="BT5" s="224"/>
      <c r="BU5" s="224"/>
      <c r="BV5" s="225"/>
      <c r="BW5" s="220" t="s">
        <v>19</v>
      </c>
      <c r="BX5" s="221" t="s">
        <v>20</v>
      </c>
      <c r="BY5" s="222"/>
      <c r="BZ5" s="220" t="s">
        <v>21</v>
      </c>
      <c r="CA5" s="220"/>
      <c r="CB5" s="221" t="s">
        <v>22</v>
      </c>
      <c r="CC5" s="222"/>
      <c r="CD5" s="220" t="s">
        <v>22</v>
      </c>
      <c r="CE5" s="221" t="s">
        <v>23</v>
      </c>
      <c r="CF5" s="220"/>
      <c r="CG5" s="220"/>
      <c r="CH5" s="220"/>
      <c r="CI5" s="222"/>
      <c r="CJ5" s="226" t="s">
        <v>24</v>
      </c>
      <c r="CK5" s="94" t="s">
        <v>25</v>
      </c>
      <c r="CL5" s="94"/>
      <c r="CM5" s="94"/>
      <c r="CN5" s="94"/>
      <c r="CO5" s="94"/>
      <c r="CP5" s="94"/>
      <c r="CQ5" s="94"/>
      <c r="CR5" s="94"/>
      <c r="CS5" s="94"/>
      <c r="CT5" s="94"/>
      <c r="CU5" s="94"/>
      <c r="CV5" s="94"/>
      <c r="CW5" s="94"/>
      <c r="CX5" s="94"/>
      <c r="CY5" s="94"/>
      <c r="CZ5" s="94"/>
      <c r="DA5" s="95" t="s">
        <v>25</v>
      </c>
      <c r="DB5" s="96"/>
      <c r="DC5" s="94" t="s">
        <v>26</v>
      </c>
      <c r="DD5" s="94"/>
      <c r="DE5" s="94"/>
      <c r="DF5" s="94"/>
      <c r="DG5" s="94"/>
      <c r="DH5" s="94"/>
      <c r="DI5" s="94"/>
      <c r="DJ5" s="250" t="s">
        <v>27</v>
      </c>
      <c r="DK5" s="94"/>
      <c r="DL5" s="94"/>
      <c r="DM5" s="94"/>
      <c r="DN5" s="94"/>
      <c r="DO5" s="94"/>
      <c r="DP5" s="94"/>
      <c r="DQ5" s="94"/>
      <c r="DR5" s="94"/>
      <c r="DS5" s="94"/>
      <c r="DT5" s="94"/>
      <c r="DU5" s="94"/>
      <c r="DV5" s="94"/>
      <c r="DW5" s="94"/>
      <c r="DX5" s="94"/>
      <c r="DY5" s="96"/>
      <c r="DZ5" s="94" t="s">
        <v>28</v>
      </c>
      <c r="EA5" s="94"/>
      <c r="EB5" s="94" t="s">
        <v>29</v>
      </c>
      <c r="EC5" s="94"/>
      <c r="ED5" s="94"/>
      <c r="EE5" s="94"/>
      <c r="EF5" s="94"/>
      <c r="EG5" s="94"/>
      <c r="EH5" s="94"/>
      <c r="EI5" s="94"/>
      <c r="EJ5" s="94"/>
      <c r="EK5" s="94"/>
      <c r="EL5" s="94"/>
      <c r="EM5" s="94"/>
      <c r="EN5" s="94"/>
      <c r="EO5" s="95" t="s">
        <v>30</v>
      </c>
      <c r="EP5" s="94"/>
      <c r="EQ5" s="96"/>
      <c r="ER5" s="94" t="s">
        <v>31</v>
      </c>
      <c r="ES5" s="94"/>
      <c r="ET5" s="94"/>
      <c r="EU5" s="94"/>
      <c r="EV5" s="94"/>
      <c r="EW5" s="94"/>
      <c r="EX5" s="94"/>
      <c r="EY5" s="94"/>
      <c r="EZ5" s="94"/>
      <c r="FA5" s="94"/>
      <c r="FB5" s="94"/>
      <c r="FC5" s="94"/>
      <c r="FD5" s="94"/>
      <c r="FE5" s="94"/>
      <c r="FF5" s="94"/>
      <c r="FG5" s="96"/>
      <c r="FH5" s="94" t="s">
        <v>32</v>
      </c>
      <c r="FI5" s="94"/>
      <c r="FJ5" s="94"/>
      <c r="FK5" s="94"/>
      <c r="FL5" s="94"/>
      <c r="FM5" s="94"/>
      <c r="FN5" s="95" t="s">
        <v>32</v>
      </c>
      <c r="FO5" s="94"/>
      <c r="FP5" s="96"/>
      <c r="FQ5" s="94" t="s">
        <v>33</v>
      </c>
      <c r="FR5" s="94"/>
      <c r="FS5" s="94"/>
      <c r="FT5" s="94"/>
      <c r="FU5" s="94"/>
      <c r="FV5" s="94"/>
      <c r="FW5" s="97"/>
      <c r="FX5" s="97"/>
      <c r="FY5" s="97"/>
      <c r="FZ5" s="97"/>
      <c r="GA5" s="97"/>
      <c r="GB5" s="97"/>
      <c r="GC5" s="97"/>
      <c r="GD5" s="97"/>
      <c r="GE5" s="97"/>
      <c r="GF5" s="250" t="s">
        <v>34</v>
      </c>
      <c r="GG5" s="218"/>
      <c r="GH5" s="218"/>
      <c r="GI5" s="218"/>
      <c r="GJ5" s="218"/>
      <c r="GK5" s="218"/>
      <c r="GL5" s="218"/>
      <c r="GM5" s="218"/>
      <c r="GN5" s="218"/>
      <c r="GO5" s="218"/>
      <c r="GP5" s="218"/>
      <c r="GQ5" s="218"/>
      <c r="GR5" s="218"/>
      <c r="GS5" s="218"/>
      <c r="GT5" s="218"/>
      <c r="GU5" s="218"/>
      <c r="GV5" s="218"/>
      <c r="GW5" s="218"/>
      <c r="GX5" s="218"/>
      <c r="GY5" s="218"/>
      <c r="GZ5" s="218"/>
      <c r="HA5" s="218"/>
      <c r="HB5" s="218"/>
      <c r="HC5" s="259"/>
      <c r="HD5" s="94" t="s">
        <v>35</v>
      </c>
      <c r="HE5" s="94"/>
      <c r="HF5" s="95" t="s">
        <v>36</v>
      </c>
      <c r="HG5" s="94"/>
      <c r="HH5" s="94"/>
      <c r="HI5" s="218"/>
      <c r="HJ5" s="94"/>
      <c r="HK5" s="96"/>
      <c r="HL5" s="94" t="s">
        <v>36</v>
      </c>
      <c r="HM5" s="95" t="s">
        <v>37</v>
      </c>
      <c r="HN5" s="94"/>
      <c r="HO5" s="94"/>
      <c r="HP5" s="94"/>
      <c r="HQ5" s="94"/>
      <c r="HR5" s="94"/>
      <c r="HS5" s="94"/>
      <c r="HT5" s="96"/>
      <c r="HU5" s="94" t="s">
        <v>38</v>
      </c>
      <c r="HV5" s="94"/>
      <c r="HW5" s="94"/>
      <c r="HX5" s="94"/>
      <c r="HY5" s="94"/>
      <c r="HZ5" s="94"/>
      <c r="IA5" s="95" t="s">
        <v>39</v>
      </c>
      <c r="IB5" s="94"/>
      <c r="IC5" s="94"/>
      <c r="ID5" s="94"/>
      <c r="IE5" s="94"/>
      <c r="IF5" s="94"/>
      <c r="IG5" s="94"/>
      <c r="IH5" s="94"/>
      <c r="II5" s="94"/>
      <c r="IJ5" s="96"/>
      <c r="IK5" s="94" t="s">
        <v>40</v>
      </c>
      <c r="IL5" s="94"/>
      <c r="IM5" s="94"/>
      <c r="IN5" s="94"/>
      <c r="IO5" s="94"/>
      <c r="IP5" s="94"/>
      <c r="IQ5" s="94"/>
      <c r="IR5" s="94"/>
      <c r="IS5" s="94"/>
      <c r="IT5" s="94"/>
      <c r="IU5" s="94"/>
      <c r="IV5" s="94"/>
      <c r="IW5" s="94"/>
      <c r="IX5" s="94"/>
      <c r="IY5" s="94"/>
      <c r="IZ5" s="95" t="s">
        <v>41</v>
      </c>
      <c r="JA5" s="96"/>
      <c r="JB5" s="94" t="s">
        <v>42</v>
      </c>
      <c r="JC5" s="94"/>
      <c r="JD5" s="94"/>
      <c r="JE5" s="95" t="s">
        <v>42</v>
      </c>
      <c r="JF5" s="96"/>
      <c r="JG5" s="94" t="s">
        <v>43</v>
      </c>
      <c r="JH5" s="95" t="s">
        <v>44</v>
      </c>
      <c r="JI5" s="94"/>
      <c r="JJ5" s="94"/>
      <c r="JK5" s="94"/>
      <c r="JL5" s="94"/>
      <c r="JM5" s="94"/>
      <c r="JN5" s="94"/>
      <c r="JO5" s="94"/>
      <c r="JP5" s="94"/>
      <c r="JQ5" s="94"/>
      <c r="JR5" s="96"/>
      <c r="JS5" s="94" t="s">
        <v>45</v>
      </c>
      <c r="JT5" s="95" t="s">
        <v>46</v>
      </c>
      <c r="JU5" s="94"/>
      <c r="JV5" s="94"/>
      <c r="JW5" s="94"/>
      <c r="JX5" s="94"/>
      <c r="JY5" s="96"/>
      <c r="JZ5" s="94" t="s">
        <v>450</v>
      </c>
      <c r="KA5" s="94"/>
      <c r="KB5" s="94"/>
      <c r="KC5" s="95" t="s">
        <v>451</v>
      </c>
      <c r="KD5" s="94"/>
      <c r="KE5" s="94"/>
      <c r="KF5" s="94"/>
      <c r="KG5" s="94"/>
      <c r="KH5" s="94"/>
      <c r="KI5" s="94"/>
      <c r="KJ5" s="96"/>
      <c r="KK5" s="94" t="s">
        <v>452</v>
      </c>
      <c r="KL5" s="94"/>
      <c r="KM5" s="94"/>
      <c r="KN5" s="94"/>
      <c r="KO5" s="94"/>
      <c r="KP5" s="95" t="s">
        <v>453</v>
      </c>
      <c r="KQ5" s="94"/>
      <c r="KR5" s="94"/>
      <c r="KS5" s="94"/>
      <c r="KT5" s="94"/>
      <c r="KU5" s="96"/>
      <c r="KV5" s="94" t="s">
        <v>454</v>
      </c>
      <c r="KW5" s="94"/>
      <c r="KX5" s="94"/>
      <c r="KY5" s="94"/>
      <c r="KZ5" s="94"/>
      <c r="LA5" s="94"/>
      <c r="LB5" s="94"/>
      <c r="LC5" s="94"/>
      <c r="LD5" s="94"/>
      <c r="LE5" s="94"/>
      <c r="LF5" s="94"/>
      <c r="LG5" s="96"/>
    </row>
    <row r="6" spans="1:319" s="59" customFormat="1" ht="18" customHeight="1" x14ac:dyDescent="0.3">
      <c r="A6" s="382"/>
      <c r="B6" s="385"/>
      <c r="C6" s="385"/>
      <c r="D6" s="385"/>
      <c r="E6" s="385"/>
      <c r="F6" s="385"/>
      <c r="G6" s="385"/>
      <c r="H6" s="385"/>
      <c r="I6" s="378"/>
      <c r="J6" s="378"/>
      <c r="K6" s="97" t="s">
        <v>47</v>
      </c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9"/>
      <c r="Y6" s="97" t="s">
        <v>47</v>
      </c>
      <c r="Z6" s="97"/>
      <c r="AA6" s="97"/>
      <c r="AB6" s="97"/>
      <c r="AC6" s="97"/>
      <c r="AD6" s="97"/>
      <c r="AE6" s="97"/>
      <c r="AF6" s="98" t="s">
        <v>48</v>
      </c>
      <c r="AG6" s="99"/>
      <c r="AH6" s="97" t="s">
        <v>47</v>
      </c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117"/>
      <c r="AT6" s="97" t="s">
        <v>49</v>
      </c>
      <c r="AU6" s="97"/>
      <c r="AV6" s="97"/>
      <c r="AW6" s="98" t="s">
        <v>47</v>
      </c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9"/>
      <c r="BK6" s="227" t="s">
        <v>50</v>
      </c>
      <c r="BL6" s="220"/>
      <c r="BM6" s="228" t="s">
        <v>51</v>
      </c>
      <c r="BN6" s="222"/>
      <c r="BO6" s="229" t="s">
        <v>52</v>
      </c>
      <c r="BP6" s="220"/>
      <c r="BQ6" s="221" t="s">
        <v>53</v>
      </c>
      <c r="BR6" s="220"/>
      <c r="BS6" s="220"/>
      <c r="BT6" s="220"/>
      <c r="BU6" s="220"/>
      <c r="BV6" s="222"/>
      <c r="BW6" s="229" t="s">
        <v>54</v>
      </c>
      <c r="BX6" s="228" t="s">
        <v>55</v>
      </c>
      <c r="BY6" s="222"/>
      <c r="BZ6" s="230" t="s">
        <v>56</v>
      </c>
      <c r="CA6" s="220"/>
      <c r="CB6" s="228" t="s">
        <v>57</v>
      </c>
      <c r="CC6" s="231"/>
      <c r="CD6" s="229" t="s">
        <v>58</v>
      </c>
      <c r="CE6" s="221" t="s">
        <v>59</v>
      </c>
      <c r="CF6" s="220"/>
      <c r="CG6" s="220"/>
      <c r="CH6" s="220"/>
      <c r="CI6" s="222"/>
      <c r="CJ6" s="232" t="s">
        <v>48</v>
      </c>
      <c r="CK6" s="97" t="s">
        <v>60</v>
      </c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8" t="s">
        <v>61</v>
      </c>
      <c r="DB6" s="99"/>
      <c r="DC6" s="97" t="s">
        <v>62</v>
      </c>
      <c r="DD6" s="97"/>
      <c r="DE6" s="97"/>
      <c r="DF6" s="97"/>
      <c r="DG6" s="97"/>
      <c r="DH6" s="97"/>
      <c r="DI6" s="97"/>
      <c r="DJ6" s="98" t="s">
        <v>63</v>
      </c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9"/>
      <c r="DZ6" s="97" t="s">
        <v>64</v>
      </c>
      <c r="EA6" s="97"/>
      <c r="EB6" s="97" t="s">
        <v>47</v>
      </c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8" t="s">
        <v>65</v>
      </c>
      <c r="EP6" s="97"/>
      <c r="EQ6" s="99"/>
      <c r="ER6" s="97" t="s">
        <v>63</v>
      </c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9"/>
      <c r="FH6" s="97" t="s">
        <v>66</v>
      </c>
      <c r="FI6" s="97"/>
      <c r="FJ6" s="97"/>
      <c r="FK6" s="97"/>
      <c r="FL6" s="97"/>
      <c r="FM6" s="97"/>
      <c r="FN6" s="98" t="s">
        <v>48</v>
      </c>
      <c r="FO6" s="97"/>
      <c r="FP6" s="99"/>
      <c r="FQ6" s="97" t="s">
        <v>60</v>
      </c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8" t="s">
        <v>63</v>
      </c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9"/>
      <c r="HD6" s="260" t="s">
        <v>50</v>
      </c>
      <c r="HE6" s="97"/>
      <c r="HF6" s="98" t="s">
        <v>67</v>
      </c>
      <c r="HG6" s="97"/>
      <c r="HH6" s="97"/>
      <c r="HI6" s="97"/>
      <c r="HJ6" s="97"/>
      <c r="HK6" s="99"/>
      <c r="HL6" s="97" t="s">
        <v>68</v>
      </c>
      <c r="HM6" s="98" t="s">
        <v>69</v>
      </c>
      <c r="HN6" s="97"/>
      <c r="HO6" s="97"/>
      <c r="HP6" s="97"/>
      <c r="HQ6" s="97"/>
      <c r="HR6" s="97"/>
      <c r="HS6" s="97"/>
      <c r="HT6" s="99"/>
      <c r="HU6" s="97" t="s">
        <v>60</v>
      </c>
      <c r="HV6" s="97"/>
      <c r="HW6" s="97"/>
      <c r="HX6" s="97"/>
      <c r="HY6" s="97"/>
      <c r="HZ6" s="97"/>
      <c r="IA6" s="98" t="s">
        <v>70</v>
      </c>
      <c r="IB6" s="97"/>
      <c r="IC6" s="97"/>
      <c r="ID6" s="97"/>
      <c r="IE6" s="97"/>
      <c r="IF6" s="97"/>
      <c r="IG6" s="97"/>
      <c r="IH6" s="97"/>
      <c r="II6" s="97"/>
      <c r="IJ6" s="99"/>
      <c r="IK6" s="97" t="s">
        <v>71</v>
      </c>
      <c r="IL6" s="97"/>
      <c r="IM6" s="97"/>
      <c r="IN6" s="97"/>
      <c r="IO6" s="97"/>
      <c r="IP6" s="97"/>
      <c r="IQ6" s="97"/>
      <c r="IR6" s="97"/>
      <c r="IS6" s="97"/>
      <c r="IT6" s="97"/>
      <c r="IU6" s="97"/>
      <c r="IV6" s="97"/>
      <c r="IW6" s="97"/>
      <c r="IX6" s="97"/>
      <c r="IY6" s="97"/>
      <c r="IZ6" s="299" t="s">
        <v>72</v>
      </c>
      <c r="JA6" s="99"/>
      <c r="JB6" s="300" t="s">
        <v>73</v>
      </c>
      <c r="JC6" s="97"/>
      <c r="JD6" s="97"/>
      <c r="JE6" s="299" t="s">
        <v>50</v>
      </c>
      <c r="JF6" s="99"/>
      <c r="JG6" s="260" t="s">
        <v>74</v>
      </c>
      <c r="JH6" s="98" t="s">
        <v>75</v>
      </c>
      <c r="JI6" s="97"/>
      <c r="JJ6" s="97"/>
      <c r="JK6" s="97"/>
      <c r="JL6" s="97"/>
      <c r="JM6" s="97"/>
      <c r="JN6" s="97"/>
      <c r="JO6" s="97"/>
      <c r="JP6" s="97"/>
      <c r="JQ6" s="97"/>
      <c r="JR6" s="99"/>
      <c r="JS6" s="260" t="s">
        <v>76</v>
      </c>
      <c r="JT6" s="98" t="s">
        <v>77</v>
      </c>
      <c r="JU6" s="97"/>
      <c r="JV6" s="97"/>
      <c r="JW6" s="97"/>
      <c r="JX6" s="97"/>
      <c r="JY6" s="99"/>
      <c r="JZ6" s="97" t="s">
        <v>455</v>
      </c>
      <c r="KA6" s="97"/>
      <c r="KB6" s="97"/>
      <c r="KC6" s="98" t="s">
        <v>456</v>
      </c>
      <c r="KD6" s="97"/>
      <c r="KE6" s="97"/>
      <c r="KF6" s="97"/>
      <c r="KG6" s="97"/>
      <c r="KH6" s="97"/>
      <c r="KI6" s="97"/>
      <c r="KJ6" s="99"/>
      <c r="KK6" s="97" t="s">
        <v>457</v>
      </c>
      <c r="KL6" s="97"/>
      <c r="KM6" s="97"/>
      <c r="KN6" s="97"/>
      <c r="KO6" s="97"/>
      <c r="KP6" s="98" t="s">
        <v>51</v>
      </c>
      <c r="KQ6" s="97"/>
      <c r="KR6" s="97"/>
      <c r="KS6" s="97"/>
      <c r="KT6" s="97"/>
      <c r="KU6" s="99"/>
      <c r="KV6" s="97" t="s">
        <v>47</v>
      </c>
      <c r="KW6" s="97"/>
      <c r="KX6" s="97"/>
      <c r="KY6" s="97"/>
      <c r="KZ6" s="97"/>
      <c r="LA6" s="97"/>
      <c r="LB6" s="97"/>
      <c r="LC6" s="97"/>
      <c r="LD6" s="97"/>
      <c r="LE6" s="97"/>
      <c r="LF6" s="97"/>
      <c r="LG6" s="99"/>
    </row>
    <row r="7" spans="1:319" s="1" customFormat="1" ht="18" customHeight="1" x14ac:dyDescent="0.3">
      <c r="A7" s="383"/>
      <c r="B7" s="386"/>
      <c r="C7" s="386"/>
      <c r="D7" s="386"/>
      <c r="E7" s="386"/>
      <c r="F7" s="386"/>
      <c r="G7" s="386"/>
      <c r="H7" s="386"/>
      <c r="I7" s="379"/>
      <c r="J7" s="379"/>
      <c r="K7" s="100" t="s">
        <v>78</v>
      </c>
      <c r="L7" s="100" t="s">
        <v>79</v>
      </c>
      <c r="M7" s="100" t="s">
        <v>80</v>
      </c>
      <c r="N7" s="100" t="s">
        <v>81</v>
      </c>
      <c r="O7" s="100" t="s">
        <v>82</v>
      </c>
      <c r="P7" s="100" t="s">
        <v>83</v>
      </c>
      <c r="Q7" s="100" t="s">
        <v>84</v>
      </c>
      <c r="R7" s="100" t="s">
        <v>78</v>
      </c>
      <c r="S7" s="100" t="s">
        <v>79</v>
      </c>
      <c r="T7" s="100" t="s">
        <v>80</v>
      </c>
      <c r="U7" s="100" t="s">
        <v>81</v>
      </c>
      <c r="V7" s="100" t="s">
        <v>82</v>
      </c>
      <c r="W7" s="100" t="s">
        <v>83</v>
      </c>
      <c r="X7" s="102" t="s">
        <v>84</v>
      </c>
      <c r="Y7" s="100" t="s">
        <v>78</v>
      </c>
      <c r="Z7" s="100" t="s">
        <v>81</v>
      </c>
      <c r="AA7" s="100" t="s">
        <v>80</v>
      </c>
      <c r="AB7" s="100" t="s">
        <v>82</v>
      </c>
      <c r="AC7" s="100" t="s">
        <v>85</v>
      </c>
      <c r="AD7" s="100" t="s">
        <v>78</v>
      </c>
      <c r="AE7" s="100" t="s">
        <v>84</v>
      </c>
      <c r="AF7" s="101" t="s">
        <v>86</v>
      </c>
      <c r="AG7" s="102" t="s">
        <v>87</v>
      </c>
      <c r="AH7" s="100" t="s">
        <v>78</v>
      </c>
      <c r="AI7" s="100" t="s">
        <v>79</v>
      </c>
      <c r="AJ7" s="100" t="s">
        <v>80</v>
      </c>
      <c r="AK7" s="100" t="s">
        <v>81</v>
      </c>
      <c r="AL7" s="100" t="s">
        <v>82</v>
      </c>
      <c r="AM7" s="100" t="s">
        <v>83</v>
      </c>
      <c r="AN7" s="100" t="s">
        <v>84</v>
      </c>
      <c r="AO7" s="100" t="s">
        <v>85</v>
      </c>
      <c r="AP7" s="100" t="s">
        <v>79</v>
      </c>
      <c r="AQ7" s="100" t="s">
        <v>88</v>
      </c>
      <c r="AR7" s="100" t="s">
        <v>89</v>
      </c>
      <c r="AS7" s="118" t="s">
        <v>85</v>
      </c>
      <c r="AT7" s="100" t="s">
        <v>84</v>
      </c>
      <c r="AU7" s="100" t="s">
        <v>89</v>
      </c>
      <c r="AV7" s="100" t="s">
        <v>90</v>
      </c>
      <c r="AW7" s="101" t="s">
        <v>78</v>
      </c>
      <c r="AX7" s="100" t="s">
        <v>79</v>
      </c>
      <c r="AY7" s="100" t="s">
        <v>80</v>
      </c>
      <c r="AZ7" s="100" t="s">
        <v>81</v>
      </c>
      <c r="BA7" s="100" t="s">
        <v>82</v>
      </c>
      <c r="BB7" s="100" t="s">
        <v>83</v>
      </c>
      <c r="BC7" s="100" t="s">
        <v>84</v>
      </c>
      <c r="BD7" s="100" t="s">
        <v>91</v>
      </c>
      <c r="BE7" s="100" t="s">
        <v>79</v>
      </c>
      <c r="BF7" s="100" t="s">
        <v>80</v>
      </c>
      <c r="BG7" s="100" t="s">
        <v>88</v>
      </c>
      <c r="BH7" s="100" t="s">
        <v>89</v>
      </c>
      <c r="BI7" s="100" t="s">
        <v>85</v>
      </c>
      <c r="BJ7" s="102" t="s">
        <v>91</v>
      </c>
      <c r="BK7" s="233" t="s">
        <v>86</v>
      </c>
      <c r="BL7" s="234" t="s">
        <v>87</v>
      </c>
      <c r="BM7" s="235" t="s">
        <v>92</v>
      </c>
      <c r="BN7" s="236" t="s">
        <v>93</v>
      </c>
      <c r="BO7" s="234" t="s">
        <v>84</v>
      </c>
      <c r="BP7" s="234" t="s">
        <v>89</v>
      </c>
      <c r="BQ7" s="235" t="s">
        <v>85</v>
      </c>
      <c r="BR7" s="234" t="s">
        <v>94</v>
      </c>
      <c r="BS7" s="234" t="s">
        <v>91</v>
      </c>
      <c r="BT7" s="234" t="s">
        <v>95</v>
      </c>
      <c r="BU7" s="234" t="s">
        <v>96</v>
      </c>
      <c r="BV7" s="236" t="s">
        <v>97</v>
      </c>
      <c r="BW7" s="234" t="s">
        <v>84</v>
      </c>
      <c r="BX7" s="235" t="s">
        <v>85</v>
      </c>
      <c r="BY7" s="236" t="s">
        <v>86</v>
      </c>
      <c r="BZ7" s="234" t="s">
        <v>98</v>
      </c>
      <c r="CA7" s="234" t="s">
        <v>93</v>
      </c>
      <c r="CB7" s="235" t="s">
        <v>95</v>
      </c>
      <c r="CC7" s="236" t="s">
        <v>99</v>
      </c>
      <c r="CD7" s="234" t="s">
        <v>91</v>
      </c>
      <c r="CE7" s="235" t="s">
        <v>100</v>
      </c>
      <c r="CF7" s="234" t="s">
        <v>91</v>
      </c>
      <c r="CG7" s="234" t="s">
        <v>101</v>
      </c>
      <c r="CH7" s="234" t="s">
        <v>96</v>
      </c>
      <c r="CI7" s="236" t="s">
        <v>102</v>
      </c>
      <c r="CJ7" s="237" t="s">
        <v>93</v>
      </c>
      <c r="CK7" s="100" t="s">
        <v>80</v>
      </c>
      <c r="CL7" s="100" t="s">
        <v>82</v>
      </c>
      <c r="CM7" s="100" t="s">
        <v>98</v>
      </c>
      <c r="CN7" s="100" t="s">
        <v>88</v>
      </c>
      <c r="CO7" s="100" t="s">
        <v>83</v>
      </c>
      <c r="CP7" s="100" t="s">
        <v>91</v>
      </c>
      <c r="CQ7" s="100" t="s">
        <v>95</v>
      </c>
      <c r="CR7" s="100" t="s">
        <v>81</v>
      </c>
      <c r="CS7" s="100" t="s">
        <v>103</v>
      </c>
      <c r="CT7" s="100" t="s">
        <v>104</v>
      </c>
      <c r="CU7" s="100" t="s">
        <v>101</v>
      </c>
      <c r="CV7" s="100" t="s">
        <v>89</v>
      </c>
      <c r="CW7" s="100" t="s">
        <v>87</v>
      </c>
      <c r="CX7" s="100" t="s">
        <v>96</v>
      </c>
      <c r="CY7" s="100" t="s">
        <v>97</v>
      </c>
      <c r="CZ7" s="100" t="s">
        <v>83</v>
      </c>
      <c r="DA7" s="101" t="s">
        <v>84</v>
      </c>
      <c r="DB7" s="102" t="s">
        <v>89</v>
      </c>
      <c r="DC7" s="100" t="s">
        <v>91</v>
      </c>
      <c r="DD7" s="100" t="s">
        <v>84</v>
      </c>
      <c r="DE7" s="100" t="s">
        <v>95</v>
      </c>
      <c r="DF7" s="100" t="s">
        <v>89</v>
      </c>
      <c r="DG7" s="100" t="s">
        <v>96</v>
      </c>
      <c r="DH7" s="100" t="s">
        <v>90</v>
      </c>
      <c r="DI7" s="100" t="s">
        <v>97</v>
      </c>
      <c r="DJ7" s="101" t="s">
        <v>80</v>
      </c>
      <c r="DK7" s="100" t="s">
        <v>98</v>
      </c>
      <c r="DL7" s="100" t="s">
        <v>100</v>
      </c>
      <c r="DM7" s="100" t="s">
        <v>82</v>
      </c>
      <c r="DN7" s="100" t="s">
        <v>88</v>
      </c>
      <c r="DO7" s="100" t="s">
        <v>83</v>
      </c>
      <c r="DP7" s="100" t="s">
        <v>85</v>
      </c>
      <c r="DQ7" s="100" t="s">
        <v>96</v>
      </c>
      <c r="DR7" s="100" t="s">
        <v>80</v>
      </c>
      <c r="DS7" s="100" t="s">
        <v>103</v>
      </c>
      <c r="DT7" s="100" t="s">
        <v>101</v>
      </c>
      <c r="DU7" s="100" t="s">
        <v>81</v>
      </c>
      <c r="DV7" s="100" t="s">
        <v>104</v>
      </c>
      <c r="DW7" s="100" t="s">
        <v>84</v>
      </c>
      <c r="DX7" s="100" t="s">
        <v>91</v>
      </c>
      <c r="DY7" s="102" t="s">
        <v>102</v>
      </c>
      <c r="DZ7" s="100" t="s">
        <v>93</v>
      </c>
      <c r="EA7" s="100" t="s">
        <v>92</v>
      </c>
      <c r="EB7" s="100" t="s">
        <v>78</v>
      </c>
      <c r="EC7" s="100" t="s">
        <v>79</v>
      </c>
      <c r="ED7" s="100" t="s">
        <v>93</v>
      </c>
      <c r="EE7" s="100" t="s">
        <v>81</v>
      </c>
      <c r="EF7" s="100" t="s">
        <v>82</v>
      </c>
      <c r="EG7" s="100" t="s">
        <v>83</v>
      </c>
      <c r="EH7" s="100" t="s">
        <v>84</v>
      </c>
      <c r="EI7" s="100" t="s">
        <v>78</v>
      </c>
      <c r="EJ7" s="100" t="s">
        <v>79</v>
      </c>
      <c r="EK7" s="100" t="s">
        <v>93</v>
      </c>
      <c r="EL7" s="100" t="s">
        <v>88</v>
      </c>
      <c r="EM7" s="100" t="s">
        <v>104</v>
      </c>
      <c r="EN7" s="100" t="s">
        <v>85</v>
      </c>
      <c r="EO7" s="101" t="s">
        <v>84</v>
      </c>
      <c r="EP7" s="100" t="s">
        <v>89</v>
      </c>
      <c r="EQ7" s="102" t="s">
        <v>90</v>
      </c>
      <c r="ER7" s="100" t="s">
        <v>80</v>
      </c>
      <c r="ES7" s="100" t="s">
        <v>98</v>
      </c>
      <c r="ET7" s="100" t="s">
        <v>93</v>
      </c>
      <c r="EU7" s="100" t="s">
        <v>82</v>
      </c>
      <c r="EV7" s="100" t="s">
        <v>88</v>
      </c>
      <c r="EW7" s="100" t="s">
        <v>84</v>
      </c>
      <c r="EX7" s="100" t="s">
        <v>85</v>
      </c>
      <c r="EY7" s="100" t="s">
        <v>102</v>
      </c>
      <c r="EZ7" s="100" t="s">
        <v>80</v>
      </c>
      <c r="FA7" s="100" t="s">
        <v>98</v>
      </c>
      <c r="FB7" s="100" t="s">
        <v>93</v>
      </c>
      <c r="FC7" s="100" t="s">
        <v>81</v>
      </c>
      <c r="FD7" s="100" t="s">
        <v>104</v>
      </c>
      <c r="FE7" s="100" t="s">
        <v>89</v>
      </c>
      <c r="FF7" s="100" t="s">
        <v>91</v>
      </c>
      <c r="FG7" s="102" t="s">
        <v>96</v>
      </c>
      <c r="FH7" s="100" t="s">
        <v>82</v>
      </c>
      <c r="FI7" s="100" t="s">
        <v>81</v>
      </c>
      <c r="FJ7" s="100" t="s">
        <v>88</v>
      </c>
      <c r="FK7" s="100" t="s">
        <v>105</v>
      </c>
      <c r="FL7" s="100" t="s">
        <v>83</v>
      </c>
      <c r="FM7" s="100" t="s">
        <v>84</v>
      </c>
      <c r="FN7" s="101" t="s">
        <v>80</v>
      </c>
      <c r="FO7" s="100" t="s">
        <v>93</v>
      </c>
      <c r="FP7" s="102" t="s">
        <v>106</v>
      </c>
      <c r="FQ7" s="100" t="s">
        <v>82</v>
      </c>
      <c r="FR7" s="100" t="s">
        <v>88</v>
      </c>
      <c r="FS7" s="100" t="s">
        <v>83</v>
      </c>
      <c r="FT7" s="100" t="s">
        <v>84</v>
      </c>
      <c r="FU7" s="100" t="s">
        <v>85</v>
      </c>
      <c r="FV7" s="100" t="s">
        <v>96</v>
      </c>
      <c r="FW7" s="100" t="s">
        <v>95</v>
      </c>
      <c r="FX7" s="100" t="s">
        <v>81</v>
      </c>
      <c r="FY7" s="100" t="s">
        <v>104</v>
      </c>
      <c r="FZ7" s="100" t="s">
        <v>88</v>
      </c>
      <c r="GA7" s="100" t="s">
        <v>101</v>
      </c>
      <c r="GB7" s="100" t="s">
        <v>83</v>
      </c>
      <c r="GC7" s="100" t="s">
        <v>91</v>
      </c>
      <c r="GD7" s="100" t="s">
        <v>96</v>
      </c>
      <c r="GE7" s="100" t="s">
        <v>97</v>
      </c>
      <c r="GF7" s="101" t="s">
        <v>80</v>
      </c>
      <c r="GG7" s="100" t="s">
        <v>79</v>
      </c>
      <c r="GH7" s="100" t="s">
        <v>82</v>
      </c>
      <c r="GI7" s="100" t="s">
        <v>88</v>
      </c>
      <c r="GJ7" s="100" t="s">
        <v>83</v>
      </c>
      <c r="GK7" s="100" t="s">
        <v>100</v>
      </c>
      <c r="GL7" s="100" t="s">
        <v>85</v>
      </c>
      <c r="GM7" s="100" t="s">
        <v>91</v>
      </c>
      <c r="GN7" s="100" t="s">
        <v>80</v>
      </c>
      <c r="GO7" s="100" t="s">
        <v>81</v>
      </c>
      <c r="GP7" s="100" t="s">
        <v>79</v>
      </c>
      <c r="GQ7" s="100" t="s">
        <v>104</v>
      </c>
      <c r="GR7" s="100" t="s">
        <v>107</v>
      </c>
      <c r="GS7" s="100" t="s">
        <v>84</v>
      </c>
      <c r="GT7" s="100" t="s">
        <v>91</v>
      </c>
      <c r="GU7" s="100" t="s">
        <v>102</v>
      </c>
      <c r="GV7" s="100" t="s">
        <v>108</v>
      </c>
      <c r="GW7" s="100" t="s">
        <v>80</v>
      </c>
      <c r="GX7" s="100" t="s">
        <v>82</v>
      </c>
      <c r="GY7" s="100" t="s">
        <v>109</v>
      </c>
      <c r="GZ7" s="100" t="s">
        <v>88</v>
      </c>
      <c r="HA7" s="100" t="s">
        <v>83</v>
      </c>
      <c r="HB7" s="100" t="s">
        <v>85</v>
      </c>
      <c r="HC7" s="102" t="s">
        <v>96</v>
      </c>
      <c r="HD7" s="100" t="s">
        <v>86</v>
      </c>
      <c r="HE7" s="100" t="s">
        <v>87</v>
      </c>
      <c r="HF7" s="101" t="s">
        <v>110</v>
      </c>
      <c r="HG7" s="100" t="s">
        <v>111</v>
      </c>
      <c r="HH7" s="100" t="s">
        <v>112</v>
      </c>
      <c r="HI7" s="100" t="s">
        <v>113</v>
      </c>
      <c r="HJ7" s="100" t="s">
        <v>114</v>
      </c>
      <c r="HK7" s="102" t="s">
        <v>105</v>
      </c>
      <c r="HL7" s="100" t="s">
        <v>93</v>
      </c>
      <c r="HM7" s="101" t="s">
        <v>91</v>
      </c>
      <c r="HN7" s="100" t="s">
        <v>96</v>
      </c>
      <c r="HO7" s="100" t="s">
        <v>102</v>
      </c>
      <c r="HP7" s="100" t="s">
        <v>84</v>
      </c>
      <c r="HQ7" s="100" t="s">
        <v>89</v>
      </c>
      <c r="HR7" s="100" t="s">
        <v>90</v>
      </c>
      <c r="HS7" s="100" t="s">
        <v>100</v>
      </c>
      <c r="HT7" s="102" t="s">
        <v>101</v>
      </c>
      <c r="HU7" s="100" t="s">
        <v>83</v>
      </c>
      <c r="HV7" s="100" t="s">
        <v>82</v>
      </c>
      <c r="HW7" s="100" t="s">
        <v>85</v>
      </c>
      <c r="HX7" s="100" t="s">
        <v>84</v>
      </c>
      <c r="HY7" s="100" t="s">
        <v>81</v>
      </c>
      <c r="HZ7" s="100" t="s">
        <v>91</v>
      </c>
      <c r="IA7" s="101" t="s">
        <v>96</v>
      </c>
      <c r="IB7" s="100" t="s">
        <v>93</v>
      </c>
      <c r="IC7" s="100" t="s">
        <v>98</v>
      </c>
      <c r="ID7" s="100" t="s">
        <v>91</v>
      </c>
      <c r="IE7" s="100" t="s">
        <v>82</v>
      </c>
      <c r="IF7" s="100" t="s">
        <v>100</v>
      </c>
      <c r="IG7" s="100" t="s">
        <v>88</v>
      </c>
      <c r="IH7" s="100" t="s">
        <v>87</v>
      </c>
      <c r="II7" s="100" t="s">
        <v>102</v>
      </c>
      <c r="IJ7" s="102" t="s">
        <v>101</v>
      </c>
      <c r="IK7" s="100" t="s">
        <v>82</v>
      </c>
      <c r="IL7" s="100" t="s">
        <v>81</v>
      </c>
      <c r="IM7" s="100" t="s">
        <v>83</v>
      </c>
      <c r="IN7" s="100" t="s">
        <v>82</v>
      </c>
      <c r="IO7" s="100" t="s">
        <v>88</v>
      </c>
      <c r="IP7" s="100" t="s">
        <v>115</v>
      </c>
      <c r="IQ7" s="100" t="s">
        <v>84</v>
      </c>
      <c r="IR7" s="100" t="s">
        <v>86</v>
      </c>
      <c r="IS7" s="100" t="s">
        <v>96</v>
      </c>
      <c r="IT7" s="100" t="s">
        <v>82</v>
      </c>
      <c r="IU7" s="100" t="s">
        <v>104</v>
      </c>
      <c r="IV7" s="100" t="s">
        <v>87</v>
      </c>
      <c r="IW7" s="100" t="s">
        <v>116</v>
      </c>
      <c r="IX7" s="100" t="s">
        <v>89</v>
      </c>
      <c r="IY7" s="100" t="s">
        <v>96</v>
      </c>
      <c r="IZ7" s="101" t="s">
        <v>104</v>
      </c>
      <c r="JA7" s="102" t="s">
        <v>108</v>
      </c>
      <c r="JB7" s="100" t="s">
        <v>91</v>
      </c>
      <c r="JC7" s="100" t="s">
        <v>91</v>
      </c>
      <c r="JD7" s="100" t="s">
        <v>96</v>
      </c>
      <c r="JE7" s="101" t="s">
        <v>91</v>
      </c>
      <c r="JF7" s="102" t="s">
        <v>96</v>
      </c>
      <c r="JG7" s="100" t="s">
        <v>95</v>
      </c>
      <c r="JH7" s="101" t="s">
        <v>80</v>
      </c>
      <c r="JI7" s="100" t="s">
        <v>82</v>
      </c>
      <c r="JJ7" s="100" t="s">
        <v>88</v>
      </c>
      <c r="JK7" s="100" t="s">
        <v>83</v>
      </c>
      <c r="JL7" s="100" t="s">
        <v>85</v>
      </c>
      <c r="JM7" s="100" t="s">
        <v>96</v>
      </c>
      <c r="JN7" s="100" t="s">
        <v>80</v>
      </c>
      <c r="JO7" s="100" t="s">
        <v>81</v>
      </c>
      <c r="JP7" s="100" t="s">
        <v>104</v>
      </c>
      <c r="JQ7" s="100" t="s">
        <v>84</v>
      </c>
      <c r="JR7" s="102" t="s">
        <v>91</v>
      </c>
      <c r="JS7" s="100" t="s">
        <v>117</v>
      </c>
      <c r="JT7" s="101" t="s">
        <v>78</v>
      </c>
      <c r="JU7" s="100" t="s">
        <v>82</v>
      </c>
      <c r="JV7" s="100" t="s">
        <v>80</v>
      </c>
      <c r="JW7" s="100" t="s">
        <v>88</v>
      </c>
      <c r="JX7" s="100" t="s">
        <v>84</v>
      </c>
      <c r="JY7" s="102" t="s">
        <v>85</v>
      </c>
      <c r="JZ7" s="100" t="s">
        <v>84</v>
      </c>
      <c r="KA7" s="100" t="s">
        <v>89</v>
      </c>
      <c r="KB7" s="100" t="s">
        <v>90</v>
      </c>
      <c r="KC7" s="101" t="s">
        <v>78</v>
      </c>
      <c r="KD7" s="100" t="s">
        <v>82</v>
      </c>
      <c r="KE7" s="100" t="s">
        <v>88</v>
      </c>
      <c r="KF7" s="100" t="s">
        <v>84</v>
      </c>
      <c r="KG7" s="100" t="s">
        <v>78</v>
      </c>
      <c r="KH7" s="100" t="s">
        <v>82</v>
      </c>
      <c r="KI7" s="100" t="s">
        <v>88</v>
      </c>
      <c r="KJ7" s="102" t="s">
        <v>84</v>
      </c>
      <c r="KK7" s="100" t="s">
        <v>458</v>
      </c>
      <c r="KL7" s="100" t="s">
        <v>459</v>
      </c>
      <c r="KM7" s="100" t="s">
        <v>434</v>
      </c>
      <c r="KN7" s="100" t="s">
        <v>460</v>
      </c>
      <c r="KO7" s="100" t="s">
        <v>434</v>
      </c>
      <c r="KP7" s="101" t="s">
        <v>84</v>
      </c>
      <c r="KQ7" s="100" t="s">
        <v>89</v>
      </c>
      <c r="KR7" s="100" t="s">
        <v>91</v>
      </c>
      <c r="KS7" s="100" t="s">
        <v>100</v>
      </c>
      <c r="KT7" s="100" t="s">
        <v>96</v>
      </c>
      <c r="KU7" s="102" t="s">
        <v>101</v>
      </c>
      <c r="KV7" s="100" t="s">
        <v>78</v>
      </c>
      <c r="KW7" s="100" t="s">
        <v>81</v>
      </c>
      <c r="KX7" s="100" t="s">
        <v>80</v>
      </c>
      <c r="KY7" s="100" t="s">
        <v>82</v>
      </c>
      <c r="KZ7" s="100" t="s">
        <v>83</v>
      </c>
      <c r="LA7" s="100" t="s">
        <v>85</v>
      </c>
      <c r="LB7" s="100" t="s">
        <v>79</v>
      </c>
      <c r="LC7" s="100" t="s">
        <v>81</v>
      </c>
      <c r="LD7" s="100" t="s">
        <v>98</v>
      </c>
      <c r="LE7" s="100" t="s">
        <v>82</v>
      </c>
      <c r="LF7" s="100" t="s">
        <v>88</v>
      </c>
      <c r="LG7" s="102" t="s">
        <v>84</v>
      </c>
    </row>
    <row r="8" spans="1:319" ht="18" customHeight="1" x14ac:dyDescent="0.25">
      <c r="A8" s="14">
        <v>1</v>
      </c>
      <c r="B8" s="13" t="s">
        <v>301</v>
      </c>
      <c r="C8" s="1">
        <v>10324</v>
      </c>
      <c r="D8" s="1">
        <v>2014</v>
      </c>
      <c r="E8" t="s">
        <v>431</v>
      </c>
      <c r="F8" s="1">
        <v>5486</v>
      </c>
      <c r="G8" s="1" t="s">
        <v>432</v>
      </c>
      <c r="H8" t="s">
        <v>433</v>
      </c>
      <c r="I8" s="1">
        <f>SUM(K8:LG8)</f>
        <v>192.79999999999998</v>
      </c>
      <c r="J8" s="14">
        <f>Tabuľka311[[#This Row],[Stĺpec9]]</f>
        <v>192.79999999999998</v>
      </c>
      <c r="CU8" s="1">
        <v>21</v>
      </c>
      <c r="DJ8"/>
      <c r="DK8"/>
      <c r="DL8">
        <f>8+12</f>
        <v>20</v>
      </c>
      <c r="DM8"/>
      <c r="DN8"/>
      <c r="DO8"/>
      <c r="DP8"/>
      <c r="DQ8"/>
      <c r="DR8"/>
      <c r="DS8"/>
      <c r="DT8">
        <f>9+12</f>
        <v>21</v>
      </c>
      <c r="DU8"/>
      <c r="DV8"/>
      <c r="DW8"/>
      <c r="DX8"/>
      <c r="DY8"/>
      <c r="DZ8"/>
      <c r="EA8"/>
      <c r="ER8"/>
      <c r="ES8"/>
      <c r="ET8">
        <f>(6+10)*1.2</f>
        <v>19.2</v>
      </c>
      <c r="EU8"/>
      <c r="EV8"/>
      <c r="EW8"/>
      <c r="EX8"/>
      <c r="EY8"/>
      <c r="EZ8"/>
      <c r="FA8"/>
      <c r="FB8">
        <f>(6+9)*1.2</f>
        <v>18</v>
      </c>
      <c r="FC8"/>
      <c r="FD8"/>
      <c r="FE8"/>
      <c r="FF8"/>
      <c r="FG8"/>
      <c r="FH8" s="268"/>
      <c r="FI8" s="268"/>
      <c r="FJ8" s="268"/>
      <c r="FK8" s="268"/>
      <c r="FL8" s="268"/>
      <c r="FM8" s="264"/>
      <c r="FN8" s="268"/>
      <c r="FO8" s="268"/>
      <c r="FP8" s="264"/>
      <c r="FQ8" s="268"/>
      <c r="FR8" s="268"/>
      <c r="FS8" s="268"/>
      <c r="FT8" s="264"/>
      <c r="FU8" s="264"/>
      <c r="FV8" s="268"/>
      <c r="FW8" s="268"/>
      <c r="FX8" s="268"/>
      <c r="FY8" s="268"/>
      <c r="FZ8" s="268"/>
      <c r="GA8" s="264">
        <v>12</v>
      </c>
      <c r="GB8" s="268"/>
      <c r="GC8" s="264"/>
      <c r="GD8" s="268"/>
      <c r="GE8" s="264"/>
      <c r="GF8" s="268"/>
      <c r="GG8" s="268"/>
      <c r="GH8" s="268"/>
      <c r="GI8" s="268"/>
      <c r="GJ8" s="268"/>
      <c r="GK8" s="268">
        <f>9+12</f>
        <v>21</v>
      </c>
      <c r="GL8" s="268"/>
      <c r="GM8" s="268"/>
      <c r="GN8" s="268"/>
      <c r="GO8" s="268"/>
      <c r="GP8" s="268"/>
      <c r="GQ8" s="268"/>
      <c r="GR8" s="268"/>
      <c r="GS8" s="268"/>
      <c r="GT8" s="268"/>
      <c r="GU8" s="268"/>
      <c r="GV8" s="268"/>
      <c r="GW8" s="268"/>
      <c r="GX8" s="268"/>
      <c r="GY8" s="268"/>
      <c r="GZ8" s="268"/>
      <c r="HA8" s="268"/>
      <c r="HB8" s="268"/>
      <c r="HC8" s="268"/>
      <c r="HD8" s="268"/>
      <c r="HE8" s="268"/>
      <c r="HF8" s="268"/>
      <c r="HG8" s="268"/>
      <c r="HH8" s="268"/>
      <c r="HI8" s="268"/>
      <c r="HJ8" s="268"/>
      <c r="HK8" s="268"/>
      <c r="HL8" s="268"/>
      <c r="HS8" s="1">
        <v>14.399999999999999</v>
      </c>
      <c r="HT8" s="1">
        <v>13.2</v>
      </c>
      <c r="KS8" s="1">
        <v>14</v>
      </c>
      <c r="KU8" s="1">
        <v>19</v>
      </c>
    </row>
    <row r="9" spans="1:319" s="12" customFormat="1" ht="18" customHeight="1" x14ac:dyDescent="0.3">
      <c r="A9" s="14">
        <v>2</v>
      </c>
      <c r="B9" s="13" t="s">
        <v>128</v>
      </c>
      <c r="C9" s="1">
        <v>10269</v>
      </c>
      <c r="D9" s="1">
        <v>2014</v>
      </c>
      <c r="E9" t="s">
        <v>125</v>
      </c>
      <c r="F9" s="1">
        <v>2965</v>
      </c>
      <c r="G9" s="1" t="s">
        <v>434</v>
      </c>
      <c r="H9" t="s">
        <v>127</v>
      </c>
      <c r="I9" s="1">
        <f>SUM(K9:LG9)</f>
        <v>159.60000000000002</v>
      </c>
      <c r="J9" s="14">
        <f>Tabuľka311[[#This Row],[Stĺpec9]]</f>
        <v>159.60000000000002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>
        <v>10.799999999999999</v>
      </c>
      <c r="CF9" s="1"/>
      <c r="CG9" s="1">
        <v>7.1999999999999993</v>
      </c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>
        <v>17</v>
      </c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/>
      <c r="DK9"/>
      <c r="DL9">
        <f>9+12</f>
        <v>21</v>
      </c>
      <c r="DM9"/>
      <c r="DN9"/>
      <c r="DO9"/>
      <c r="DP9"/>
      <c r="DQ9"/>
      <c r="DR9"/>
      <c r="DS9"/>
      <c r="DT9">
        <f>8+12</f>
        <v>20</v>
      </c>
      <c r="DU9"/>
      <c r="DV9"/>
      <c r="DW9"/>
      <c r="DX9"/>
      <c r="DY9"/>
      <c r="DZ9"/>
      <c r="EA9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/>
      <c r="ES9"/>
      <c r="ET9">
        <f>(4+8)*1.2</f>
        <v>14.399999999999999</v>
      </c>
      <c r="EU9"/>
      <c r="EV9"/>
      <c r="EW9"/>
      <c r="EX9"/>
      <c r="EY9"/>
      <c r="EZ9"/>
      <c r="FA9"/>
      <c r="FB9">
        <f>(4+7)*1.2</f>
        <v>13.2</v>
      </c>
      <c r="FC9"/>
      <c r="FD9"/>
      <c r="FE9"/>
      <c r="FF9"/>
      <c r="FG9"/>
      <c r="FH9"/>
      <c r="FI9"/>
      <c r="FJ9"/>
      <c r="FK9"/>
      <c r="FL9"/>
      <c r="FM9" s="266"/>
      <c r="FN9"/>
      <c r="FO9"/>
      <c r="FP9" s="266"/>
      <c r="FQ9"/>
      <c r="FR9"/>
      <c r="FS9"/>
      <c r="FT9"/>
      <c r="FU9" s="267"/>
      <c r="FV9" s="267"/>
      <c r="FW9"/>
      <c r="FX9"/>
      <c r="FY9"/>
      <c r="FZ9"/>
      <c r="GA9" s="267">
        <v>12</v>
      </c>
      <c r="GB9"/>
      <c r="GC9"/>
      <c r="GD9" s="267"/>
      <c r="GE9" s="266"/>
      <c r="GF9"/>
      <c r="GG9"/>
      <c r="GH9"/>
      <c r="GI9"/>
      <c r="GJ9"/>
      <c r="GK9">
        <f>8+12</f>
        <v>20</v>
      </c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>
        <v>12</v>
      </c>
      <c r="IG9" s="1"/>
      <c r="IH9" s="1"/>
      <c r="II9" s="1"/>
      <c r="IJ9" s="1">
        <v>12</v>
      </c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</row>
    <row r="10" spans="1:319" s="12" customFormat="1" ht="18" customHeight="1" x14ac:dyDescent="0.25">
      <c r="A10" s="14">
        <v>3</v>
      </c>
      <c r="B10" s="13" t="s">
        <v>131</v>
      </c>
      <c r="C10" s="1">
        <v>11295</v>
      </c>
      <c r="D10" s="1">
        <v>2017</v>
      </c>
      <c r="E10" t="s">
        <v>129</v>
      </c>
      <c r="F10" s="1">
        <v>338</v>
      </c>
      <c r="G10" s="11" t="s">
        <v>434</v>
      </c>
      <c r="H10" s="4" t="s">
        <v>127</v>
      </c>
      <c r="I10" s="1">
        <f>SUM(K10:LG10)</f>
        <v>96.4</v>
      </c>
      <c r="J10" s="14">
        <f>Tabuľka311[[#This Row],[Stĺpec9]]</f>
        <v>96.4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>
        <f>3+8</f>
        <v>11</v>
      </c>
      <c r="DK10"/>
      <c r="DL10"/>
      <c r="DM10"/>
      <c r="DN10"/>
      <c r="DO10"/>
      <c r="DP10"/>
      <c r="DQ10"/>
      <c r="DR10">
        <f>3+8</f>
        <v>11</v>
      </c>
      <c r="DS10"/>
      <c r="DT10"/>
      <c r="DU10"/>
      <c r="DV10"/>
      <c r="DW10"/>
      <c r="DX10"/>
      <c r="DY10"/>
      <c r="DZ10"/>
      <c r="EA10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>
        <f>(3+8)*1.2</f>
        <v>13.2</v>
      </c>
      <c r="ES10"/>
      <c r="ET10"/>
      <c r="EU10"/>
      <c r="EV10"/>
      <c r="EW10"/>
      <c r="EX10"/>
      <c r="EY10"/>
      <c r="EZ10">
        <f>(3+8)*1.2</f>
        <v>13.2</v>
      </c>
      <c r="FA10"/>
      <c r="FB10"/>
      <c r="FC10"/>
      <c r="FD10"/>
      <c r="FE10"/>
      <c r="FF10"/>
      <c r="FG10"/>
      <c r="FH10"/>
      <c r="FI10"/>
      <c r="FJ10"/>
      <c r="FK10"/>
      <c r="FL10"/>
      <c r="FM10" s="266"/>
      <c r="FN10"/>
      <c r="FO10"/>
      <c r="FP10" s="266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 s="266"/>
      <c r="GF10">
        <f>3+6</f>
        <v>9</v>
      </c>
      <c r="GG10"/>
      <c r="GH10"/>
      <c r="GI10"/>
      <c r="GJ10"/>
      <c r="GK10"/>
      <c r="GL10"/>
      <c r="GM10"/>
      <c r="GN10">
        <f>3+6</f>
        <v>9</v>
      </c>
      <c r="GO10"/>
      <c r="GP10"/>
      <c r="GQ10"/>
      <c r="GR10"/>
      <c r="GS10"/>
      <c r="GT10"/>
      <c r="GU10"/>
      <c r="GV10"/>
      <c r="GW10">
        <f>3+6</f>
        <v>9</v>
      </c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268">
        <f>3+8</f>
        <v>11</v>
      </c>
      <c r="JI10" s="268"/>
      <c r="JJ10" s="268"/>
      <c r="JK10" s="268"/>
      <c r="JL10" s="268"/>
      <c r="JM10" s="268"/>
      <c r="JN10" s="268">
        <f>3+7</f>
        <v>10</v>
      </c>
      <c r="JO10" s="268"/>
      <c r="JP10" s="268"/>
      <c r="JQ10" s="268"/>
      <c r="JR10" s="268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</row>
    <row r="11" spans="1:319" s="12" customFormat="1" ht="18" customHeight="1" x14ac:dyDescent="0.25">
      <c r="A11" s="14">
        <v>4</v>
      </c>
      <c r="B11" s="13" t="s">
        <v>145</v>
      </c>
      <c r="C11" s="1">
        <v>10202</v>
      </c>
      <c r="D11" s="1">
        <v>2014</v>
      </c>
      <c r="E11" t="s">
        <v>144</v>
      </c>
      <c r="F11" s="1">
        <v>7279</v>
      </c>
      <c r="G11" s="1" t="s">
        <v>434</v>
      </c>
      <c r="H11" t="s">
        <v>146</v>
      </c>
      <c r="I11" s="1">
        <f>SUM(K11:LG11)</f>
        <v>86.6</v>
      </c>
      <c r="J11" s="14">
        <f>Tabuľka311[[#This Row],[Stĺpec9]]</f>
        <v>86.6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>
        <v>15</v>
      </c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/>
      <c r="DK11"/>
      <c r="DL11">
        <f>7+9</f>
        <v>16</v>
      </c>
      <c r="DM11"/>
      <c r="DN11"/>
      <c r="DO11"/>
      <c r="DP11"/>
      <c r="DQ11"/>
      <c r="DR11"/>
      <c r="DS11"/>
      <c r="DT11">
        <f>7+9</f>
        <v>16</v>
      </c>
      <c r="DU11"/>
      <c r="DV11"/>
      <c r="DW11"/>
      <c r="DX11"/>
      <c r="DY11"/>
      <c r="DZ11"/>
      <c r="EA1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/>
      <c r="ES11"/>
      <c r="ET11">
        <f>(3+7)*1.2</f>
        <v>12</v>
      </c>
      <c r="EU11"/>
      <c r="EV11"/>
      <c r="EW11"/>
      <c r="EX11"/>
      <c r="EY11"/>
      <c r="EZ11"/>
      <c r="FA11"/>
      <c r="FB11">
        <f>(3+5)*1.2</f>
        <v>9.6</v>
      </c>
      <c r="FC11"/>
      <c r="FD11"/>
      <c r="FE11"/>
      <c r="FF11"/>
      <c r="FG11"/>
      <c r="FH11"/>
      <c r="FI11"/>
      <c r="FJ11"/>
      <c r="FK11"/>
      <c r="FL11"/>
      <c r="FM11" s="266"/>
      <c r="FN11"/>
      <c r="FO11"/>
      <c r="FP11" s="266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 s="266"/>
      <c r="GF11"/>
      <c r="GG11"/>
      <c r="GH11"/>
      <c r="GI11"/>
      <c r="GJ11"/>
      <c r="GK11">
        <f>7+11</f>
        <v>18</v>
      </c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</row>
    <row r="12" spans="1:319" s="12" customFormat="1" ht="18" customHeight="1" x14ac:dyDescent="0.25">
      <c r="A12" s="14">
        <v>5</v>
      </c>
      <c r="B12" s="13" t="s">
        <v>174</v>
      </c>
      <c r="C12" s="1">
        <v>11490</v>
      </c>
      <c r="D12" s="1">
        <v>2017</v>
      </c>
      <c r="E12" t="s">
        <v>173</v>
      </c>
      <c r="F12" s="1">
        <v>1742</v>
      </c>
      <c r="G12" s="11" t="s">
        <v>434</v>
      </c>
      <c r="H12" s="4" t="s">
        <v>146</v>
      </c>
      <c r="I12" s="1">
        <f>SUM(K12:LG12)</f>
        <v>59.4</v>
      </c>
      <c r="J12" s="14">
        <f>I12</f>
        <v>59.4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>
        <f>2+7</f>
        <v>9</v>
      </c>
      <c r="DK12"/>
      <c r="DL12"/>
      <c r="DM12"/>
      <c r="DN12"/>
      <c r="DO12"/>
      <c r="DP12"/>
      <c r="DQ12"/>
      <c r="DR12">
        <v>5</v>
      </c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>
        <f>(0+5)*1.2</f>
        <v>6</v>
      </c>
      <c r="ES12"/>
      <c r="ET12"/>
      <c r="EU12"/>
      <c r="EV12"/>
      <c r="EW12"/>
      <c r="EX12"/>
      <c r="EY12"/>
      <c r="EZ12">
        <f>(2+5)*1.2</f>
        <v>8.4</v>
      </c>
      <c r="FA12"/>
      <c r="FB12"/>
      <c r="FC12"/>
      <c r="FD12"/>
      <c r="FE12"/>
      <c r="FF12"/>
      <c r="FG12" s="1"/>
      <c r="FH12"/>
      <c r="FI12"/>
      <c r="FJ12"/>
      <c r="FK12"/>
      <c r="FL12"/>
      <c r="FM12" s="264"/>
      <c r="FN12"/>
      <c r="FO12"/>
      <c r="FP12" s="264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 s="264"/>
      <c r="GF12">
        <f>2+4</f>
        <v>6</v>
      </c>
      <c r="GG12"/>
      <c r="GH12"/>
      <c r="GI12"/>
      <c r="GJ12"/>
      <c r="GK12"/>
      <c r="GL12"/>
      <c r="GM12"/>
      <c r="GN12">
        <f>2+5</f>
        <v>7</v>
      </c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>
        <v>4</v>
      </c>
      <c r="JI12" s="1"/>
      <c r="JJ12" s="1"/>
      <c r="JK12" s="1"/>
      <c r="JL12" s="1"/>
      <c r="JM12" s="1"/>
      <c r="JN12" s="1">
        <v>5</v>
      </c>
      <c r="JO12" s="1"/>
      <c r="JP12" s="1"/>
      <c r="JQ12" s="1"/>
      <c r="JR12" s="1"/>
      <c r="JS12" s="1"/>
      <c r="JT12" s="1"/>
      <c r="JU12" s="1"/>
      <c r="JV12" s="1">
        <f>2+7</f>
        <v>9</v>
      </c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</row>
    <row r="13" spans="1:319" s="12" customFormat="1" ht="18.75" customHeight="1" x14ac:dyDescent="0.25">
      <c r="A13" s="14">
        <v>6</v>
      </c>
      <c r="B13" s="13" t="s">
        <v>167</v>
      </c>
      <c r="C13" s="1">
        <v>11222</v>
      </c>
      <c r="D13" s="1">
        <v>2015</v>
      </c>
      <c r="E13" s="4" t="s">
        <v>164</v>
      </c>
      <c r="F13" s="1">
        <v>5185</v>
      </c>
      <c r="G13" s="11" t="s">
        <v>434</v>
      </c>
      <c r="H13" s="4" t="s">
        <v>137</v>
      </c>
      <c r="I13" s="1">
        <f>SUM(K13:LG13)</f>
        <v>55</v>
      </c>
      <c r="J13" s="14">
        <f t="shared" ref="J13:J18" si="0">I13</f>
        <v>55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>
        <v>8</v>
      </c>
      <c r="CA13" s="1">
        <v>9</v>
      </c>
      <c r="CB13" s="1"/>
      <c r="CC13" s="1"/>
      <c r="CD13" s="1"/>
      <c r="CE13" s="1"/>
      <c r="CF13" s="1"/>
      <c r="CG13" s="1"/>
      <c r="CH13" s="1"/>
      <c r="CI13" s="1"/>
      <c r="CJ13" s="1">
        <v>8</v>
      </c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/>
      <c r="EC13"/>
      <c r="ED13">
        <f>0+10</f>
        <v>10</v>
      </c>
      <c r="EE13"/>
      <c r="EF13"/>
      <c r="EG13"/>
      <c r="EH13"/>
      <c r="EI13"/>
      <c r="EJ13"/>
      <c r="EK13">
        <v>10</v>
      </c>
      <c r="EL13"/>
      <c r="EM13"/>
      <c r="EN13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>
        <v>10</v>
      </c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</row>
    <row r="14" spans="1:319" s="12" customFormat="1" ht="18" customHeight="1" x14ac:dyDescent="0.25">
      <c r="A14" s="14">
        <v>7</v>
      </c>
      <c r="B14" s="13" t="s">
        <v>154</v>
      </c>
      <c r="C14" s="1">
        <v>11297</v>
      </c>
      <c r="D14" s="1">
        <v>2017</v>
      </c>
      <c r="E14" t="s">
        <v>152</v>
      </c>
      <c r="F14" s="1">
        <v>2366</v>
      </c>
      <c r="G14" s="1" t="s">
        <v>434</v>
      </c>
      <c r="H14" t="s">
        <v>127</v>
      </c>
      <c r="I14" s="1">
        <f>SUM(K14:LG14)</f>
        <v>46.8</v>
      </c>
      <c r="J14" s="14">
        <f>I14</f>
        <v>46.8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>
        <v>2</v>
      </c>
      <c r="DK14"/>
      <c r="DL14"/>
      <c r="DM14"/>
      <c r="DN14"/>
      <c r="DO14"/>
      <c r="DP14"/>
      <c r="DQ14"/>
      <c r="DR14">
        <f>1+5</f>
        <v>6</v>
      </c>
      <c r="DS14"/>
      <c r="DT14"/>
      <c r="DU14"/>
      <c r="DV14"/>
      <c r="DW14"/>
      <c r="DX14"/>
      <c r="DY14"/>
      <c r="DZ14"/>
      <c r="EA14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>
        <f>(1+5)*1.2</f>
        <v>7.1999999999999993</v>
      </c>
      <c r="ES14"/>
      <c r="ET14"/>
      <c r="EU14"/>
      <c r="EV14"/>
      <c r="EW14"/>
      <c r="EX14"/>
      <c r="EY14"/>
      <c r="EZ14">
        <f>(0+3)*1.2</f>
        <v>3.5999999999999996</v>
      </c>
      <c r="FA14"/>
      <c r="FB14"/>
      <c r="FC14"/>
      <c r="FD14"/>
      <c r="FE14"/>
      <c r="FF14"/>
      <c r="FG14"/>
      <c r="FH14"/>
      <c r="FI14"/>
      <c r="FJ14"/>
      <c r="FK14"/>
      <c r="FL14"/>
      <c r="FM14" s="266"/>
      <c r="FN14"/>
      <c r="FO14"/>
      <c r="FP14" s="266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 s="266"/>
      <c r="GF14"/>
      <c r="GG14"/>
      <c r="GH14"/>
      <c r="GI14"/>
      <c r="GJ14"/>
      <c r="GK14"/>
      <c r="GL14"/>
      <c r="GM14"/>
      <c r="GN14">
        <v>4</v>
      </c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 s="1"/>
      <c r="JA14" s="1"/>
      <c r="JB14" s="1"/>
      <c r="JC14" s="1"/>
      <c r="JD14" s="1"/>
      <c r="JE14" s="1"/>
      <c r="JF14" s="1"/>
      <c r="JG14" s="1"/>
      <c r="JH14" s="1">
        <v>6</v>
      </c>
      <c r="JI14" s="1"/>
      <c r="JJ14" s="1"/>
      <c r="JK14" s="1"/>
      <c r="JL14" s="1"/>
      <c r="JM14" s="1"/>
      <c r="JN14" s="1">
        <v>7</v>
      </c>
      <c r="JO14" s="1"/>
      <c r="JP14" s="1"/>
      <c r="JQ14" s="1"/>
      <c r="JR14" s="1"/>
      <c r="JS14" s="1"/>
      <c r="JT14" s="1"/>
      <c r="JU14" s="1"/>
      <c r="JV14" s="1">
        <v>11</v>
      </c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</row>
    <row r="15" spans="1:319" s="12" customFormat="1" ht="18" customHeight="1" x14ac:dyDescent="0.25">
      <c r="A15" s="14">
        <v>8</v>
      </c>
      <c r="B15" s="13" t="s">
        <v>271</v>
      </c>
      <c r="C15" s="1">
        <v>11480</v>
      </c>
      <c r="D15" s="1">
        <v>2017</v>
      </c>
      <c r="E15" t="s">
        <v>267</v>
      </c>
      <c r="F15" s="1">
        <v>5701</v>
      </c>
      <c r="G15" s="11" t="s">
        <v>436</v>
      </c>
      <c r="H15" t="s">
        <v>269</v>
      </c>
      <c r="I15" s="1">
        <f>SUM(K15:LG15)</f>
        <v>41.2</v>
      </c>
      <c r="J15" s="14">
        <f>I15</f>
        <v>41.2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>
        <f>1+4</f>
        <v>5</v>
      </c>
      <c r="DK15"/>
      <c r="DL15"/>
      <c r="DM15"/>
      <c r="DN15"/>
      <c r="DO15"/>
      <c r="DP15"/>
      <c r="DQ15"/>
      <c r="DR15">
        <f>2+7</f>
        <v>9</v>
      </c>
      <c r="DS15"/>
      <c r="DT15"/>
      <c r="DU15"/>
      <c r="DV15"/>
      <c r="DW15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>
        <f>(0+5)*1.2</f>
        <v>6</v>
      </c>
      <c r="ES15"/>
      <c r="ET15"/>
      <c r="EU15"/>
      <c r="EV15"/>
      <c r="EW15"/>
      <c r="EX15"/>
      <c r="EY15"/>
      <c r="EZ15">
        <f>(1+5)*1.2</f>
        <v>7.1999999999999993</v>
      </c>
      <c r="FA15"/>
      <c r="FB15"/>
      <c r="FC15"/>
      <c r="FD15"/>
      <c r="FE15"/>
      <c r="FF15"/>
      <c r="FG15"/>
      <c r="FH15" s="268"/>
      <c r="FI15" s="268"/>
      <c r="FJ15" s="268"/>
      <c r="FK15" s="268"/>
      <c r="FL15" s="268"/>
      <c r="FM15" s="264"/>
      <c r="FN15" s="268"/>
      <c r="FO15" s="268"/>
      <c r="FP15" s="264"/>
      <c r="FQ15" s="268"/>
      <c r="FR15" s="268"/>
      <c r="FS15" s="268"/>
      <c r="FT15" s="268"/>
      <c r="FU15" s="268"/>
      <c r="FV15" s="268"/>
      <c r="FW15" s="268"/>
      <c r="FX15" s="268"/>
      <c r="FY15" s="268"/>
      <c r="FZ15" s="268"/>
      <c r="GA15" s="268"/>
      <c r="GB15" s="268"/>
      <c r="GC15" s="268"/>
      <c r="GD15" s="268"/>
      <c r="GE15" s="264"/>
      <c r="GF15" s="268">
        <f>3</f>
        <v>3</v>
      </c>
      <c r="GG15" s="268"/>
      <c r="GH15" s="268"/>
      <c r="GI15" s="268"/>
      <c r="GJ15" s="268"/>
      <c r="GK15" s="268"/>
      <c r="GL15" s="268"/>
      <c r="GM15" s="268"/>
      <c r="GN15" s="268">
        <v>4</v>
      </c>
      <c r="GO15" s="268"/>
      <c r="GP15" s="268"/>
      <c r="GQ15" s="268"/>
      <c r="GR15" s="268"/>
      <c r="GS15" s="268"/>
      <c r="GT15" s="268"/>
      <c r="GU15" s="268"/>
      <c r="GV15" s="268"/>
      <c r="GW15" s="268">
        <f>2+5</f>
        <v>7</v>
      </c>
      <c r="GX15" s="268"/>
      <c r="GY15" s="268"/>
      <c r="GZ15" s="268"/>
      <c r="HA15" s="268"/>
      <c r="HB15" s="268"/>
      <c r="HC15" s="268"/>
      <c r="HD15" s="268"/>
      <c r="HE15" s="268"/>
      <c r="HF15" s="268"/>
      <c r="HG15" s="268"/>
      <c r="HH15" s="268"/>
      <c r="HI15" s="268"/>
      <c r="HJ15" s="268"/>
      <c r="HK15" s="268"/>
      <c r="HL15" s="268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</row>
    <row r="16" spans="1:319" s="12" customFormat="1" ht="18" customHeight="1" x14ac:dyDescent="0.25">
      <c r="A16" s="14">
        <v>9</v>
      </c>
      <c r="B16" s="13" t="s">
        <v>132</v>
      </c>
      <c r="C16" s="1">
        <v>11296</v>
      </c>
      <c r="D16" s="1">
        <v>2017</v>
      </c>
      <c r="E16" t="s">
        <v>129</v>
      </c>
      <c r="F16" s="1">
        <v>338</v>
      </c>
      <c r="G16" s="11" t="s">
        <v>434</v>
      </c>
      <c r="H16" s="4" t="s">
        <v>127</v>
      </c>
      <c r="I16" s="1">
        <f>SUM(K16:LG16)</f>
        <v>38.599999999999994</v>
      </c>
      <c r="J16" s="14">
        <f>I16</f>
        <v>38.599999999999994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>
        <v>4</v>
      </c>
      <c r="DK16"/>
      <c r="DL16"/>
      <c r="DM16"/>
      <c r="DN16"/>
      <c r="DO16"/>
      <c r="DP16"/>
      <c r="DQ16"/>
      <c r="DR16">
        <v>4</v>
      </c>
      <c r="DS16"/>
      <c r="DT16"/>
      <c r="DU16"/>
      <c r="DV16"/>
      <c r="DW16"/>
      <c r="DX16"/>
      <c r="DY16"/>
      <c r="DZ16"/>
      <c r="EA16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>
        <f>(2+7)*1.2</f>
        <v>10.799999999999999</v>
      </c>
      <c r="ES16"/>
      <c r="ET16"/>
      <c r="EU16"/>
      <c r="EV16"/>
      <c r="EW16"/>
      <c r="EX16"/>
      <c r="EY16"/>
      <c r="EZ16">
        <f>(0+4)*1.2</f>
        <v>4.8</v>
      </c>
      <c r="FA16"/>
      <c r="FB16"/>
      <c r="FC16"/>
      <c r="FD16"/>
      <c r="FE16"/>
      <c r="FF16"/>
      <c r="FG16"/>
      <c r="FH16"/>
      <c r="FI16"/>
      <c r="FJ16"/>
      <c r="FK16"/>
      <c r="FL16"/>
      <c r="FM16" s="266"/>
      <c r="FN16"/>
      <c r="FO16"/>
      <c r="FP16" s="26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 s="266"/>
      <c r="GF16">
        <f>1+4</f>
        <v>5</v>
      </c>
      <c r="GG16"/>
      <c r="GH16"/>
      <c r="GI16"/>
      <c r="GJ16"/>
      <c r="GK16"/>
      <c r="GL16"/>
      <c r="GM16"/>
      <c r="GN16">
        <f>1+4</f>
        <v>5</v>
      </c>
      <c r="GO16"/>
      <c r="GP16"/>
      <c r="GQ16"/>
      <c r="GR16"/>
      <c r="GS16"/>
      <c r="GT16"/>
      <c r="GU16"/>
      <c r="GV16"/>
      <c r="GW16">
        <f>1+4</f>
        <v>5</v>
      </c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</row>
    <row r="17" spans="1:352" ht="18" customHeight="1" x14ac:dyDescent="0.25">
      <c r="A17" s="14">
        <v>10</v>
      </c>
      <c r="B17" s="13" t="s">
        <v>143</v>
      </c>
      <c r="C17" s="1">
        <v>10572</v>
      </c>
      <c r="D17" s="1">
        <v>2014</v>
      </c>
      <c r="E17" t="s">
        <v>140</v>
      </c>
      <c r="F17" s="1">
        <v>8558</v>
      </c>
      <c r="G17" s="1" t="s">
        <v>434</v>
      </c>
      <c r="H17" t="s">
        <v>142</v>
      </c>
      <c r="I17" s="1">
        <f>SUM(K17:LG17)</f>
        <v>33.6</v>
      </c>
      <c r="J17" s="14">
        <f t="shared" si="0"/>
        <v>33.6</v>
      </c>
      <c r="ER17"/>
      <c r="ES17"/>
      <c r="ET17">
        <f>(5+9)*1.2</f>
        <v>16.8</v>
      </c>
      <c r="EU17"/>
      <c r="EV17"/>
      <c r="EW17"/>
      <c r="EX17"/>
      <c r="EY17"/>
      <c r="EZ17"/>
      <c r="FA17"/>
      <c r="FB17">
        <f>(5+9)*1.2</f>
        <v>16.8</v>
      </c>
      <c r="FC17"/>
      <c r="FD17"/>
      <c r="FE17"/>
      <c r="FF17"/>
      <c r="FG17"/>
    </row>
    <row r="18" spans="1:352" s="12" customFormat="1" ht="18.75" customHeight="1" x14ac:dyDescent="0.25">
      <c r="A18" s="14">
        <v>11</v>
      </c>
      <c r="B18" s="13" t="s">
        <v>168</v>
      </c>
      <c r="C18" s="1">
        <v>11463</v>
      </c>
      <c r="D18" s="1">
        <v>2015</v>
      </c>
      <c r="E18" s="4" t="s">
        <v>164</v>
      </c>
      <c r="F18" s="1">
        <v>5185</v>
      </c>
      <c r="G18" s="11" t="s">
        <v>434</v>
      </c>
      <c r="H18" s="4" t="s">
        <v>137</v>
      </c>
      <c r="I18" s="1">
        <f>SUM(K18:LG18)</f>
        <v>30</v>
      </c>
      <c r="J18" s="14">
        <f t="shared" si="0"/>
        <v>30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/>
      <c r="EC18"/>
      <c r="ED18">
        <v>10</v>
      </c>
      <c r="EE18"/>
      <c r="EF18"/>
      <c r="EG18"/>
      <c r="EH18"/>
      <c r="EI18"/>
      <c r="EJ18"/>
      <c r="EK18">
        <v>10</v>
      </c>
      <c r="EL18"/>
      <c r="EM18"/>
      <c r="EN18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>
        <v>10</v>
      </c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</row>
    <row r="19" spans="1:352" s="12" customFormat="1" ht="18" customHeight="1" x14ac:dyDescent="0.25">
      <c r="A19" s="14">
        <v>12</v>
      </c>
      <c r="B19" s="13" t="s">
        <v>136</v>
      </c>
      <c r="C19" s="1">
        <v>11347</v>
      </c>
      <c r="D19" s="1">
        <v>2017</v>
      </c>
      <c r="E19" t="s">
        <v>134</v>
      </c>
      <c r="F19" s="1" t="s">
        <v>135</v>
      </c>
      <c r="G19" s="11" t="s">
        <v>434</v>
      </c>
      <c r="H19" s="4" t="s">
        <v>137</v>
      </c>
      <c r="I19" s="1">
        <f>SUM(K19:LG19)</f>
        <v>31</v>
      </c>
      <c r="J19" s="14">
        <f>Tabuľka311[[#This Row],[Stĺpec9]]</f>
        <v>31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>
        <v>8</v>
      </c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>
        <v>11</v>
      </c>
      <c r="AZ19" s="1"/>
      <c r="BA19" s="1"/>
      <c r="BB19" s="1"/>
      <c r="BC19" s="1"/>
      <c r="BD19" s="1"/>
      <c r="BE19" s="1"/>
      <c r="BF19" s="1">
        <v>8</v>
      </c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>
        <v>4</v>
      </c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</row>
    <row r="20" spans="1:352" s="12" customFormat="1" ht="18" customHeight="1" x14ac:dyDescent="0.25">
      <c r="A20" s="14">
        <v>13</v>
      </c>
      <c r="B20" s="13" t="s">
        <v>191</v>
      </c>
      <c r="C20" s="1">
        <v>10893</v>
      </c>
      <c r="D20" s="1">
        <v>2015</v>
      </c>
      <c r="E20" t="s">
        <v>190</v>
      </c>
      <c r="F20" s="1">
        <v>4692</v>
      </c>
      <c r="G20" s="1" t="s">
        <v>434</v>
      </c>
      <c r="H20" t="s">
        <v>192</v>
      </c>
      <c r="I20" s="1">
        <f>SUM(K20:LG20)</f>
        <v>26.6</v>
      </c>
      <c r="J20" s="14">
        <f>I20</f>
        <v>26.6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>
        <v>7</v>
      </c>
      <c r="BN20" s="11">
        <f>4+6</f>
        <v>10</v>
      </c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>
        <v>4.8</v>
      </c>
      <c r="EA20" s="1">
        <v>4.8</v>
      </c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</row>
    <row r="21" spans="1:352" s="12" customFormat="1" ht="18" customHeight="1" x14ac:dyDescent="0.25">
      <c r="A21" s="14">
        <v>14</v>
      </c>
      <c r="B21" s="13" t="s">
        <v>133</v>
      </c>
      <c r="C21" s="1">
        <v>11524</v>
      </c>
      <c r="D21" s="1">
        <v>2015</v>
      </c>
      <c r="E21" t="s">
        <v>129</v>
      </c>
      <c r="F21" s="1">
        <v>338</v>
      </c>
      <c r="G21" s="11" t="s">
        <v>434</v>
      </c>
      <c r="H21" s="4" t="s">
        <v>127</v>
      </c>
      <c r="I21" s="1">
        <f>SUM(K21:LG21)</f>
        <v>24</v>
      </c>
      <c r="J21" s="14">
        <f>I21</f>
        <v>24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>
        <v>0</v>
      </c>
      <c r="DK21"/>
      <c r="DL21"/>
      <c r="DM21"/>
      <c r="DN21"/>
      <c r="DO21"/>
      <c r="DP21"/>
      <c r="DQ21"/>
      <c r="DR21">
        <v>0</v>
      </c>
      <c r="DS21"/>
      <c r="DT21"/>
      <c r="DU21"/>
      <c r="DV21"/>
      <c r="DW21"/>
      <c r="DX21"/>
      <c r="DY21"/>
      <c r="DZ21"/>
      <c r="EA2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>
        <f>2+5</f>
        <v>7</v>
      </c>
      <c r="ES21"/>
      <c r="ET21"/>
      <c r="EU21"/>
      <c r="EV21"/>
      <c r="EW21"/>
      <c r="EX21"/>
      <c r="EY21"/>
      <c r="EZ21">
        <f>3+5</f>
        <v>8</v>
      </c>
      <c r="FA21"/>
      <c r="FB21"/>
      <c r="FC21"/>
      <c r="FD21"/>
      <c r="FE21"/>
      <c r="FF21"/>
      <c r="FG21"/>
      <c r="FH21"/>
      <c r="FI21"/>
      <c r="FJ21"/>
      <c r="FK21"/>
      <c r="FL21"/>
      <c r="FM21" s="266"/>
      <c r="FN21"/>
      <c r="FO21"/>
      <c r="FP21" s="266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 s="266"/>
      <c r="GF21">
        <f>0+2</f>
        <v>2</v>
      </c>
      <c r="GG21"/>
      <c r="GH21"/>
      <c r="GI21"/>
      <c r="GJ21"/>
      <c r="GK21"/>
      <c r="GL21"/>
      <c r="GM21"/>
      <c r="GN21">
        <v>4</v>
      </c>
      <c r="GO21"/>
      <c r="GP21"/>
      <c r="GQ21"/>
      <c r="GR21"/>
      <c r="GS21"/>
      <c r="GT21"/>
      <c r="GU21"/>
      <c r="GV21"/>
      <c r="GW21">
        <v>3</v>
      </c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</row>
    <row r="22" spans="1:352" s="12" customFormat="1" ht="18" customHeight="1" x14ac:dyDescent="0.25">
      <c r="A22" s="14">
        <v>15</v>
      </c>
      <c r="B22" s="13" t="s">
        <v>177</v>
      </c>
      <c r="C22" s="1">
        <v>11114</v>
      </c>
      <c r="D22" s="1">
        <v>2015</v>
      </c>
      <c r="E22" t="s">
        <v>176</v>
      </c>
      <c r="F22" s="1">
        <v>2093</v>
      </c>
      <c r="G22" s="11" t="s">
        <v>434</v>
      </c>
      <c r="H22" t="s">
        <v>178</v>
      </c>
      <c r="I22" s="1">
        <f>SUM(K22:LG22)</f>
        <v>22.6</v>
      </c>
      <c r="J22" s="14">
        <f t="shared" ref="J22:J27" si="1">I22</f>
        <v>22.6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/>
      <c r="DK22">
        <v>7</v>
      </c>
      <c r="DL22"/>
      <c r="DM22"/>
      <c r="DN22"/>
      <c r="DO22"/>
      <c r="DP22"/>
      <c r="DQ22"/>
      <c r="DR22"/>
      <c r="DS22">
        <v>6</v>
      </c>
      <c r="DT22"/>
      <c r="DU22"/>
      <c r="DV22"/>
      <c r="DW22"/>
      <c r="DX22"/>
      <c r="DY22"/>
      <c r="DZ22"/>
      <c r="EA22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/>
      <c r="ES22">
        <f>(0+4)*1.2</f>
        <v>4.8</v>
      </c>
      <c r="ET22"/>
      <c r="EU22"/>
      <c r="EV22"/>
      <c r="EW22"/>
      <c r="EX22"/>
      <c r="EY22"/>
      <c r="EZ22"/>
      <c r="FA22">
        <f>(0+4)*1.2</f>
        <v>4.8</v>
      </c>
      <c r="FB22"/>
      <c r="FC22"/>
      <c r="FD22"/>
      <c r="FE22"/>
      <c r="FF22"/>
      <c r="FG22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</row>
    <row r="23" spans="1:352" s="12" customFormat="1" ht="18" customHeight="1" x14ac:dyDescent="0.25">
      <c r="A23" s="14">
        <v>16</v>
      </c>
      <c r="B23" s="13" t="s">
        <v>123</v>
      </c>
      <c r="C23" s="1">
        <v>11080</v>
      </c>
      <c r="D23" s="1">
        <v>2015</v>
      </c>
      <c r="E23" t="s">
        <v>118</v>
      </c>
      <c r="F23" s="1">
        <v>6972</v>
      </c>
      <c r="G23" s="1" t="s">
        <v>434</v>
      </c>
      <c r="H23" t="s">
        <v>120</v>
      </c>
      <c r="I23" s="1">
        <f>SUM(K23:LG23)</f>
        <v>21</v>
      </c>
      <c r="J23" s="14">
        <f t="shared" si="1"/>
        <v>21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>
        <v>13</v>
      </c>
      <c r="CN23" s="1"/>
      <c r="CO23" s="1"/>
      <c r="CP23" s="1"/>
      <c r="CQ23" s="1"/>
      <c r="CR23" s="1"/>
      <c r="CS23" s="1">
        <v>8</v>
      </c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</row>
    <row r="24" spans="1:352" s="12" customFormat="1" ht="18" customHeight="1" x14ac:dyDescent="0.25">
      <c r="A24" s="14">
        <v>17</v>
      </c>
      <c r="B24" s="13" t="s">
        <v>165</v>
      </c>
      <c r="C24" s="1">
        <v>11544</v>
      </c>
      <c r="D24" s="1">
        <v>2017</v>
      </c>
      <c r="E24" s="4" t="s">
        <v>164</v>
      </c>
      <c r="F24" s="1">
        <v>5185</v>
      </c>
      <c r="G24" s="11" t="s">
        <v>434</v>
      </c>
      <c r="H24" s="4" t="s">
        <v>137</v>
      </c>
      <c r="I24" s="1">
        <f t="shared" ref="I24" si="2">SUM(K24:LG24)</f>
        <v>19</v>
      </c>
      <c r="J24" s="14">
        <f t="shared" ref="J24" si="3">I24</f>
        <v>19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>
        <f>3+8</f>
        <v>11</v>
      </c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268"/>
      <c r="KL24" s="268">
        <f>2+6</f>
        <v>8</v>
      </c>
      <c r="KM24" s="268"/>
      <c r="KN24" s="268"/>
      <c r="KO24" s="387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</row>
    <row r="25" spans="1:352" s="12" customFormat="1" ht="19.5" customHeight="1" x14ac:dyDescent="0.25">
      <c r="A25" s="14">
        <v>18</v>
      </c>
      <c r="B25" s="13" t="s">
        <v>157</v>
      </c>
      <c r="C25" s="1">
        <v>11523</v>
      </c>
      <c r="D25" s="1">
        <v>2015</v>
      </c>
      <c r="E25" t="s">
        <v>152</v>
      </c>
      <c r="F25" s="1">
        <v>2366</v>
      </c>
      <c r="G25" s="1" t="s">
        <v>434</v>
      </c>
      <c r="H25" t="s">
        <v>127</v>
      </c>
      <c r="I25" s="1">
        <f>SUM(K25:LG25)</f>
        <v>18</v>
      </c>
      <c r="J25" s="14">
        <f>I25</f>
        <v>18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>
        <v>0</v>
      </c>
      <c r="DK25"/>
      <c r="DL25"/>
      <c r="DM25"/>
      <c r="DN25"/>
      <c r="DO25"/>
      <c r="DP25"/>
      <c r="DQ25"/>
      <c r="DR25">
        <v>0</v>
      </c>
      <c r="DS25"/>
      <c r="DT25"/>
      <c r="DU25"/>
      <c r="DV25"/>
      <c r="DW25"/>
      <c r="DX25"/>
      <c r="DY25"/>
      <c r="DZ25"/>
      <c r="EA25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>
        <f>3+6</f>
        <v>9</v>
      </c>
      <c r="ES25"/>
      <c r="ET25"/>
      <c r="EU25"/>
      <c r="EV25"/>
      <c r="EW25"/>
      <c r="EX25"/>
      <c r="EY25"/>
      <c r="EZ25">
        <f>1+2</f>
        <v>3</v>
      </c>
      <c r="FA25"/>
      <c r="FB25" s="1"/>
      <c r="FC25" s="1"/>
      <c r="FD25" s="1"/>
      <c r="FE25" s="1"/>
      <c r="FF25" s="1"/>
      <c r="FG25" s="1"/>
      <c r="FH25"/>
      <c r="FI25"/>
      <c r="FJ25"/>
      <c r="FK25"/>
      <c r="FL25"/>
      <c r="FM25" s="266"/>
      <c r="FN25"/>
      <c r="FO25"/>
      <c r="FP25" s="266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 s="266"/>
      <c r="GF25">
        <v>0</v>
      </c>
      <c r="GG25"/>
      <c r="GH25"/>
      <c r="GI25"/>
      <c r="GJ25"/>
      <c r="GK25"/>
      <c r="GL25"/>
      <c r="GM25"/>
      <c r="GN25">
        <v>3</v>
      </c>
      <c r="GO25"/>
      <c r="GP25"/>
      <c r="GQ25"/>
      <c r="GR25"/>
      <c r="GS25"/>
      <c r="GT25"/>
      <c r="GU25"/>
      <c r="GV25"/>
      <c r="GW25">
        <v>3</v>
      </c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</row>
    <row r="26" spans="1:352" s="12" customFormat="1" ht="18" customHeight="1" x14ac:dyDescent="0.3">
      <c r="A26" s="14">
        <v>19</v>
      </c>
      <c r="B26" s="13" t="s">
        <v>189</v>
      </c>
      <c r="C26" s="1">
        <v>10639</v>
      </c>
      <c r="D26" s="1">
        <v>2015</v>
      </c>
      <c r="E26" t="s">
        <v>187</v>
      </c>
      <c r="F26" s="1">
        <v>4112</v>
      </c>
      <c r="G26" s="11" t="s">
        <v>434</v>
      </c>
      <c r="H26" s="4" t="s">
        <v>178</v>
      </c>
      <c r="I26" s="1">
        <f>SUM(K26:LJ26)</f>
        <v>16</v>
      </c>
      <c r="J26" s="14">
        <f>I26</f>
        <v>16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265"/>
      <c r="FI26" s="265"/>
      <c r="FJ26"/>
      <c r="FK26"/>
      <c r="FL26"/>
      <c r="FM26" s="264"/>
      <c r="FN26"/>
      <c r="FO26"/>
      <c r="FP26" s="264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 s="264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>
        <v>7</v>
      </c>
      <c r="KY26" s="1"/>
      <c r="KZ26" s="1"/>
      <c r="LA26" s="1"/>
      <c r="LB26" s="1"/>
      <c r="LC26" s="1"/>
      <c r="LD26" s="1">
        <v>9</v>
      </c>
      <c r="LE26" s="1"/>
      <c r="LF26" s="1"/>
      <c r="LG26" s="1"/>
      <c r="LH26" s="1"/>
      <c r="LI26" s="1"/>
      <c r="LJ26" s="1"/>
    </row>
    <row r="27" spans="1:352" s="12" customFormat="1" ht="18" customHeight="1" x14ac:dyDescent="0.25">
      <c r="A27" s="14"/>
      <c r="B27" s="13" t="s">
        <v>124</v>
      </c>
      <c r="C27" s="1">
        <v>11081</v>
      </c>
      <c r="D27" s="1">
        <v>2015</v>
      </c>
      <c r="E27" t="s">
        <v>118</v>
      </c>
      <c r="F27" s="1">
        <v>6972</v>
      </c>
      <c r="G27" s="1" t="s">
        <v>434</v>
      </c>
      <c r="H27" t="s">
        <v>120</v>
      </c>
      <c r="I27" s="1">
        <f>SUM(K27:LG27)</f>
        <v>16</v>
      </c>
      <c r="J27" s="14">
        <f t="shared" si="1"/>
        <v>16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>
        <v>10</v>
      </c>
      <c r="CN27" s="1"/>
      <c r="CO27" s="1"/>
      <c r="CP27" s="1"/>
      <c r="CQ27" s="1"/>
      <c r="CR27" s="1"/>
      <c r="CS27" s="1">
        <v>6</v>
      </c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</row>
    <row r="28" spans="1:352" s="12" customFormat="1" ht="18" customHeight="1" x14ac:dyDescent="0.25">
      <c r="A28" s="14">
        <v>21</v>
      </c>
      <c r="B28" s="13" t="s">
        <v>179</v>
      </c>
      <c r="C28" s="1">
        <v>11516</v>
      </c>
      <c r="D28" s="1">
        <v>2015</v>
      </c>
      <c r="E28" s="4" t="s">
        <v>391</v>
      </c>
      <c r="F28" s="1">
        <v>7987</v>
      </c>
      <c r="G28" s="11" t="s">
        <v>437</v>
      </c>
      <c r="H28" s="4" t="s">
        <v>215</v>
      </c>
      <c r="I28" s="1">
        <f>SUM(K28:LG28)</f>
        <v>2</v>
      </c>
      <c r="J28" s="14">
        <f>SUM(I28:I29)</f>
        <v>12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254">
        <v>2</v>
      </c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</row>
    <row r="29" spans="1:352" s="12" customFormat="1" ht="18" customHeight="1" x14ac:dyDescent="0.25">
      <c r="A29" s="14"/>
      <c r="B29" s="13"/>
      <c r="C29" s="1"/>
      <c r="D29" s="1"/>
      <c r="E29" s="4" t="s">
        <v>176</v>
      </c>
      <c r="F29" s="1">
        <v>2093</v>
      </c>
      <c r="G29" s="11" t="s">
        <v>434</v>
      </c>
      <c r="H29" s="4" t="s">
        <v>178</v>
      </c>
      <c r="I29" s="1">
        <f>SUM(K29:LG29)</f>
        <v>10</v>
      </c>
      <c r="J29" s="66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268"/>
      <c r="JU29" s="268"/>
      <c r="JV29" s="268">
        <f>2+8</f>
        <v>10</v>
      </c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</row>
    <row r="30" spans="1:352" ht="18" customHeight="1" x14ac:dyDescent="0.25">
      <c r="A30" s="14">
        <v>22</v>
      </c>
      <c r="B30" s="13" t="s">
        <v>281</v>
      </c>
      <c r="C30" s="1">
        <v>11639</v>
      </c>
      <c r="D30" s="1">
        <v>2016</v>
      </c>
      <c r="E30" s="273" t="s">
        <v>280</v>
      </c>
      <c r="F30" s="1">
        <v>7779</v>
      </c>
      <c r="G30" s="11" t="s">
        <v>436</v>
      </c>
      <c r="H30" s="4" t="s">
        <v>206</v>
      </c>
      <c r="I30" s="1">
        <f>SUM(K30:MN30)</f>
        <v>7</v>
      </c>
      <c r="J30" s="14">
        <f t="shared" ref="J30" si="4">I30</f>
        <v>7</v>
      </c>
      <c r="IJ30" s="274"/>
      <c r="IK30" s="274"/>
      <c r="IL30" s="274"/>
      <c r="IM30" s="274"/>
      <c r="IN30" s="274"/>
      <c r="IO30" s="274"/>
      <c r="IP30" s="274"/>
      <c r="IQ30" s="274"/>
      <c r="IR30" s="274"/>
      <c r="IS30" s="274"/>
      <c r="IT30" s="274"/>
      <c r="JS30" s="274"/>
      <c r="JT30" s="274"/>
      <c r="JU30" s="274"/>
      <c r="JV30" s="274">
        <v>7</v>
      </c>
      <c r="JW30" s="274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</row>
    <row r="31" spans="1:352" s="12" customFormat="1" ht="18" customHeight="1" x14ac:dyDescent="0.25">
      <c r="A31" s="14"/>
      <c r="B31" s="13" t="s">
        <v>147</v>
      </c>
      <c r="C31" s="1">
        <v>10993</v>
      </c>
      <c r="D31" s="1">
        <v>2016</v>
      </c>
      <c r="E31" t="s">
        <v>144</v>
      </c>
      <c r="F31" s="1">
        <v>7279</v>
      </c>
      <c r="G31" s="1" t="s">
        <v>434</v>
      </c>
      <c r="H31" t="s">
        <v>146</v>
      </c>
      <c r="I31" s="1">
        <f>SUM(K31:LG31)</f>
        <v>0</v>
      </c>
      <c r="J31" s="14">
        <f>SUM(I31:I32)</f>
        <v>7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>
        <v>0</v>
      </c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</row>
    <row r="32" spans="1:352" s="12" customFormat="1" ht="18" customHeight="1" x14ac:dyDescent="0.25">
      <c r="A32" s="14"/>
      <c r="B32" s="13"/>
      <c r="C32" s="1"/>
      <c r="D32" s="1"/>
      <c r="E32" t="s">
        <v>396</v>
      </c>
      <c r="F32" s="1">
        <v>9008</v>
      </c>
      <c r="G32" s="11" t="s">
        <v>437</v>
      </c>
      <c r="H32"/>
      <c r="I32" s="1">
        <f>SUM(K32:LG32)</f>
        <v>7</v>
      </c>
      <c r="J32" s="66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>
        <v>0</v>
      </c>
      <c r="ES32"/>
      <c r="ET32"/>
      <c r="EU32"/>
      <c r="EV32"/>
      <c r="EW32"/>
      <c r="EX32"/>
      <c r="EY32"/>
      <c r="EZ32">
        <v>1</v>
      </c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254">
        <v>1</v>
      </c>
      <c r="GG32" s="1"/>
      <c r="GH32" s="1"/>
      <c r="GI32" s="1"/>
      <c r="GJ32" s="1"/>
      <c r="GK32" s="1"/>
      <c r="GL32" s="1"/>
      <c r="GM32" s="1"/>
      <c r="GN32" s="254">
        <v>0</v>
      </c>
      <c r="GO32" s="1"/>
      <c r="GP32" s="1"/>
      <c r="GQ32" s="1"/>
      <c r="GR32" s="1"/>
      <c r="GS32" s="1"/>
      <c r="GT32" s="1"/>
      <c r="GU32" s="1"/>
      <c r="GV32" s="1"/>
      <c r="GW32" s="254">
        <v>2</v>
      </c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>
        <v>3</v>
      </c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</row>
    <row r="33" spans="1:352" s="12" customFormat="1" ht="18" customHeight="1" x14ac:dyDescent="0.25">
      <c r="A33" s="14">
        <v>24</v>
      </c>
      <c r="B33" s="13" t="s">
        <v>214</v>
      </c>
      <c r="C33" s="1">
        <v>10653</v>
      </c>
      <c r="D33" s="1">
        <v>2015</v>
      </c>
      <c r="E33" t="s">
        <v>213</v>
      </c>
      <c r="F33" s="1">
        <v>2443</v>
      </c>
      <c r="G33" s="1" t="s">
        <v>434</v>
      </c>
      <c r="H33" t="s">
        <v>215</v>
      </c>
      <c r="I33" s="1">
        <f>SUM(K33:LG33)</f>
        <v>5</v>
      </c>
      <c r="J33" s="14">
        <f>I33</f>
        <v>5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>
        <v>0</v>
      </c>
      <c r="IC33" s="1">
        <v>5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</row>
    <row r="34" spans="1:352" s="12" customFormat="1" ht="18" customHeight="1" x14ac:dyDescent="0.25">
      <c r="A34" s="14">
        <v>25</v>
      </c>
      <c r="B34" s="64" t="s">
        <v>186</v>
      </c>
      <c r="C34" s="1">
        <v>11318</v>
      </c>
      <c r="D34" s="1">
        <v>2017</v>
      </c>
      <c r="E34" t="s">
        <v>183</v>
      </c>
      <c r="F34" s="1">
        <v>7998</v>
      </c>
      <c r="G34" s="11" t="s">
        <v>434</v>
      </c>
      <c r="H34" s="4" t="s">
        <v>137</v>
      </c>
      <c r="I34" s="1">
        <f>SUM(K34:LG34)</f>
        <v>3</v>
      </c>
      <c r="J34" s="14">
        <f>Tabuľka311[[#This Row],[Stĺpec9]]</f>
        <v>3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>
        <v>2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>
        <v>1</v>
      </c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</row>
    <row r="35" spans="1:352" s="12" customFormat="1" ht="18" customHeight="1" x14ac:dyDescent="0.25">
      <c r="A35" s="66"/>
      <c r="B35" s="13" t="s">
        <v>332</v>
      </c>
      <c r="C35" s="1">
        <v>11642</v>
      </c>
      <c r="D35" s="1">
        <v>2015</v>
      </c>
      <c r="E35" s="4" t="s">
        <v>331</v>
      </c>
      <c r="F35" s="1">
        <v>9094</v>
      </c>
      <c r="G35" s="11" t="s">
        <v>432</v>
      </c>
      <c r="H35" t="s">
        <v>206</v>
      </c>
      <c r="I35" s="1">
        <f>SUM(K35:MN35)</f>
        <v>3</v>
      </c>
      <c r="J35" s="14">
        <f t="shared" ref="J35" si="5">I35</f>
        <v>3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274"/>
      <c r="JU35" s="274"/>
      <c r="JV35" s="274">
        <v>3</v>
      </c>
      <c r="JW35" s="274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</row>
    <row r="36" spans="1:352" s="12" customFormat="1" ht="18" customHeight="1" x14ac:dyDescent="0.25">
      <c r="A36" s="14">
        <v>26</v>
      </c>
      <c r="B36" s="13" t="s">
        <v>151</v>
      </c>
      <c r="C36" s="1">
        <v>11293</v>
      </c>
      <c r="D36" s="1">
        <v>2016</v>
      </c>
      <c r="E36" t="s">
        <v>148</v>
      </c>
      <c r="F36" s="1">
        <v>2372</v>
      </c>
      <c r="G36" s="11" t="s">
        <v>434</v>
      </c>
      <c r="H36" s="4" t="s">
        <v>127</v>
      </c>
      <c r="I36" s="1">
        <f>SUM(K36:LG36)</f>
        <v>2</v>
      </c>
      <c r="J36" s="14">
        <f>I36</f>
        <v>2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/>
      <c r="DK36"/>
      <c r="DL36"/>
      <c r="DM36"/>
      <c r="DN36"/>
      <c r="DO36"/>
      <c r="DP36"/>
      <c r="DQ36"/>
      <c r="DR36">
        <v>2</v>
      </c>
      <c r="DS36"/>
      <c r="DT36"/>
      <c r="DU36"/>
      <c r="DV36"/>
      <c r="DW36"/>
      <c r="DX36"/>
      <c r="DY36"/>
      <c r="DZ36"/>
      <c r="EA36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/>
      <c r="FI36"/>
      <c r="FJ36"/>
      <c r="FK36"/>
      <c r="FL36"/>
      <c r="FM36" s="266"/>
      <c r="FN36"/>
      <c r="FO36"/>
      <c r="FP36" s="26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 s="26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</row>
    <row r="37" spans="1:352" s="12" customFormat="1" ht="18" customHeight="1" x14ac:dyDescent="0.25">
      <c r="A37" s="14">
        <v>28</v>
      </c>
      <c r="B37" s="13" t="s">
        <v>244</v>
      </c>
      <c r="C37" s="1">
        <v>11470</v>
      </c>
      <c r="D37" s="1">
        <v>2017</v>
      </c>
      <c r="E37" s="4" t="s">
        <v>243</v>
      </c>
      <c r="F37" s="1">
        <v>3617</v>
      </c>
      <c r="G37" s="11" t="s">
        <v>434</v>
      </c>
      <c r="H37" t="s">
        <v>245</v>
      </c>
      <c r="I37" s="1">
        <f t="shared" ref="I37" si="6">SUM(K37:LG37)</f>
        <v>1</v>
      </c>
      <c r="J37" s="14">
        <f>I37</f>
        <v>1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>
        <v>1</v>
      </c>
      <c r="ES37"/>
      <c r="ET37"/>
      <c r="EU37"/>
      <c r="EV37"/>
      <c r="EW37"/>
      <c r="EX37"/>
      <c r="EY37"/>
      <c r="EZ37">
        <v>0</v>
      </c>
      <c r="FA37"/>
      <c r="FB37"/>
      <c r="FC37"/>
      <c r="FD37"/>
      <c r="FE37"/>
      <c r="FF37"/>
      <c r="FG37" s="1"/>
      <c r="FH37" s="268"/>
      <c r="FI37" s="268"/>
      <c r="FJ37" s="268"/>
      <c r="FK37" s="268"/>
      <c r="FL37" s="268"/>
      <c r="FM37" s="264"/>
      <c r="FN37" s="268"/>
      <c r="FO37" s="268"/>
      <c r="FP37" s="264"/>
      <c r="FQ37" s="268"/>
      <c r="FR37" s="268"/>
      <c r="FS37" s="268"/>
      <c r="FT37" s="268"/>
      <c r="FU37" s="268"/>
      <c r="FV37" s="268"/>
      <c r="FW37" s="268"/>
      <c r="FX37" s="268"/>
      <c r="FY37" s="268"/>
      <c r="FZ37" s="268"/>
      <c r="GA37" s="268"/>
      <c r="GB37" s="268"/>
      <c r="GC37" s="268"/>
      <c r="GD37" s="268"/>
      <c r="GE37" s="264"/>
      <c r="GF37" s="268">
        <v>0</v>
      </c>
      <c r="GG37" s="268"/>
      <c r="GH37" s="268"/>
      <c r="GI37" s="268"/>
      <c r="GJ37" s="268"/>
      <c r="GK37" s="268"/>
      <c r="GL37" s="268"/>
      <c r="GM37" s="268"/>
      <c r="GN37" s="268">
        <v>0</v>
      </c>
      <c r="GO37" s="268"/>
      <c r="GP37" s="268"/>
      <c r="GQ37" s="268"/>
      <c r="GR37" s="268"/>
      <c r="GS37" s="268"/>
      <c r="GT37" s="268"/>
      <c r="GU37" s="268"/>
      <c r="GV37" s="268"/>
      <c r="GW37" s="268">
        <v>0</v>
      </c>
      <c r="GX37" s="268"/>
      <c r="GY37" s="268"/>
      <c r="GZ37" s="268"/>
      <c r="HA37" s="268"/>
      <c r="HB37" s="268"/>
      <c r="HC37" s="268"/>
      <c r="HD37" s="268"/>
      <c r="HE37" s="268"/>
      <c r="HF37" s="268"/>
      <c r="HG37" s="268"/>
      <c r="HH37" s="268"/>
      <c r="HI37" s="268"/>
      <c r="HJ37" s="268"/>
      <c r="HK37" s="268"/>
      <c r="HL37" s="268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</row>
    <row r="38" spans="1:352" s="12" customFormat="1" ht="18" customHeight="1" x14ac:dyDescent="0.25">
      <c r="A38" s="14"/>
      <c r="B38" s="54" t="s">
        <v>250</v>
      </c>
      <c r="C38" s="11">
        <v>11274</v>
      </c>
      <c r="D38" s="1">
        <v>2015</v>
      </c>
      <c r="E38" s="273" t="s">
        <v>249</v>
      </c>
      <c r="F38" s="1">
        <v>8770</v>
      </c>
      <c r="G38" s="11" t="s">
        <v>434</v>
      </c>
      <c r="H38" s="273" t="s">
        <v>251</v>
      </c>
      <c r="I38" s="1">
        <f>SUM(K38:MN38)</f>
        <v>1</v>
      </c>
      <c r="J38" s="14">
        <f>I38</f>
        <v>1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>
        <v>1</v>
      </c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</row>
    <row r="39" spans="1:352" s="12" customFormat="1" ht="18" customHeight="1" x14ac:dyDescent="0.25">
      <c r="A39" s="14"/>
      <c r="B39" s="303" t="s">
        <v>254</v>
      </c>
      <c r="C39" s="11">
        <v>11191</v>
      </c>
      <c r="D39" s="1">
        <v>2015</v>
      </c>
      <c r="E39" s="273" t="s">
        <v>252</v>
      </c>
      <c r="F39" s="1" t="s">
        <v>253</v>
      </c>
      <c r="G39" s="11" t="s">
        <v>434</v>
      </c>
      <c r="H39" s="273" t="s">
        <v>206</v>
      </c>
      <c r="I39" s="1">
        <f>SUM(K39:MN39)</f>
        <v>1</v>
      </c>
      <c r="J39" s="14">
        <f t="shared" ref="J39" si="7">I39</f>
        <v>1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>
        <v>1</v>
      </c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</row>
    <row r="40" spans="1:352" s="12" customFormat="1" ht="18" customHeight="1" x14ac:dyDescent="0.25">
      <c r="A40" s="14">
        <v>31</v>
      </c>
      <c r="B40" s="13" t="s">
        <v>217</v>
      </c>
      <c r="C40" s="1">
        <v>11123</v>
      </c>
      <c r="D40" s="1">
        <v>2015</v>
      </c>
      <c r="E40" s="4" t="s">
        <v>216</v>
      </c>
      <c r="F40" s="1">
        <v>8648</v>
      </c>
      <c r="G40" s="11" t="s">
        <v>434</v>
      </c>
      <c r="H40" s="4" t="s">
        <v>218</v>
      </c>
      <c r="I40" s="1">
        <f>SUM(K40:LG40)</f>
        <v>0</v>
      </c>
      <c r="J40" s="14">
        <f t="shared" ref="J40" si="8">I40</f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>
        <v>0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</row>
    <row r="41" spans="1:352" s="12" customFormat="1" ht="18" customHeight="1" x14ac:dyDescent="0.25">
      <c r="A41" s="66"/>
      <c r="B41" s="13" t="s">
        <v>353</v>
      </c>
      <c r="C41" s="1">
        <v>11290</v>
      </c>
      <c r="D41" s="1">
        <v>2017</v>
      </c>
      <c r="E41" s="4" t="s">
        <v>352</v>
      </c>
      <c r="F41" s="1">
        <v>8382</v>
      </c>
      <c r="G41" s="11" t="s">
        <v>432</v>
      </c>
      <c r="H41" t="s">
        <v>354</v>
      </c>
      <c r="I41" s="1">
        <f>SUM(K41:MN41)</f>
        <v>0</v>
      </c>
      <c r="J41" s="14">
        <f t="shared" ref="J41" si="9">I41</f>
        <v>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274"/>
      <c r="JU41" s="274"/>
      <c r="JV41" s="274">
        <v>0</v>
      </c>
      <c r="JW41" s="274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</row>
    <row r="42" spans="1:352" s="12" customFormat="1" ht="18" customHeight="1" x14ac:dyDescent="0.25">
      <c r="A42" s="14"/>
      <c r="B42" s="63" t="s">
        <v>184</v>
      </c>
      <c r="C42" s="1">
        <v>10853</v>
      </c>
      <c r="D42" s="1">
        <v>2015</v>
      </c>
      <c r="E42" t="s">
        <v>183</v>
      </c>
      <c r="F42" s="1">
        <v>7998</v>
      </c>
      <c r="G42" s="11" t="s">
        <v>434</v>
      </c>
      <c r="H42" s="4" t="s">
        <v>137</v>
      </c>
      <c r="I42" s="1">
        <f>SUM(K42:LG42)</f>
        <v>0</v>
      </c>
      <c r="J42" s="14">
        <f>Tabuľka311[[#This Row],[Stĺpec9]]</f>
        <v>0</v>
      </c>
      <c r="K42" s="1"/>
      <c r="L42" s="1"/>
      <c r="M42" s="1">
        <v>0</v>
      </c>
      <c r="N42" s="1"/>
      <c r="O42" s="1"/>
      <c r="P42" s="1"/>
      <c r="Q42" s="1"/>
      <c r="R42" s="1"/>
      <c r="S42" s="1"/>
      <c r="T42" s="1">
        <v>0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>
        <v>0</v>
      </c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</row>
    <row r="43" spans="1:352" s="12" customFormat="1" ht="18" customHeight="1" x14ac:dyDescent="0.25">
      <c r="A43" s="14"/>
      <c r="B43" s="13" t="s">
        <v>185</v>
      </c>
      <c r="C43" s="1">
        <v>10989</v>
      </c>
      <c r="D43" s="1">
        <v>2015</v>
      </c>
      <c r="E43" t="s">
        <v>183</v>
      </c>
      <c r="F43" s="1">
        <v>7998</v>
      </c>
      <c r="G43" s="11" t="s">
        <v>434</v>
      </c>
      <c r="H43" s="4" t="s">
        <v>137</v>
      </c>
      <c r="I43" s="1">
        <f>SUM(K43:LG43)</f>
        <v>0</v>
      </c>
      <c r="J43" s="14">
        <f>Tabuľka311[[#This Row],[Stĺpec9]]</f>
        <v>0</v>
      </c>
      <c r="K43" s="1"/>
      <c r="L43" s="1"/>
      <c r="M43" s="1">
        <v>0</v>
      </c>
      <c r="N43" s="1"/>
      <c r="O43" s="1"/>
      <c r="P43" s="1"/>
      <c r="Q43" s="1"/>
      <c r="R43" s="1"/>
      <c r="S43" s="1"/>
      <c r="T43" s="1">
        <v>0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>
        <v>0</v>
      </c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</row>
    <row r="44" spans="1:352" s="12" customFormat="1" ht="18" customHeight="1" x14ac:dyDescent="0.25">
      <c r="A44" s="14"/>
      <c r="B44" s="54" t="s">
        <v>259</v>
      </c>
      <c r="C44" s="11">
        <v>11171</v>
      </c>
      <c r="D44" s="1">
        <v>2015</v>
      </c>
      <c r="E44" s="273" t="s">
        <v>249</v>
      </c>
      <c r="F44" s="1">
        <v>8770</v>
      </c>
      <c r="G44" s="11" t="s">
        <v>434</v>
      </c>
      <c r="H44" s="273" t="s">
        <v>251</v>
      </c>
      <c r="I44" s="1">
        <f>SUM(K44:MN44)</f>
        <v>0</v>
      </c>
      <c r="J44" s="14">
        <f>I44</f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>
        <v>0</v>
      </c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</row>
    <row r="45" spans="1:352" s="12" customFormat="1" ht="18" customHeight="1" x14ac:dyDescent="0.25">
      <c r="A45" s="66"/>
      <c r="B45" s="13" t="s">
        <v>256</v>
      </c>
      <c r="C45" s="1">
        <v>11112</v>
      </c>
      <c r="D45" s="29"/>
      <c r="E45" s="273" t="s">
        <v>255</v>
      </c>
      <c r="F45" s="1">
        <v>4911</v>
      </c>
      <c r="G45" s="11" t="s">
        <v>434</v>
      </c>
      <c r="H45" t="s">
        <v>241</v>
      </c>
      <c r="I45" s="1">
        <f>SUM(K45:MM45)</f>
        <v>0</v>
      </c>
      <c r="J45" s="14">
        <f t="shared" ref="J45" si="10">I45</f>
        <v>0</v>
      </c>
      <c r="K45" s="14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>
        <v>0</v>
      </c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</row>
    <row r="46" spans="1:352" s="243" customFormat="1" ht="18" customHeight="1" x14ac:dyDescent="0.25">
      <c r="A46" s="238">
        <v>36</v>
      </c>
      <c r="B46" s="244" t="s">
        <v>265</v>
      </c>
      <c r="C46" s="240"/>
      <c r="D46" s="240"/>
      <c r="E46" s="242"/>
      <c r="F46" s="240"/>
      <c r="G46" s="248"/>
      <c r="H46" s="241"/>
      <c r="I46" s="240"/>
      <c r="J46" s="245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240"/>
      <c r="X46" s="240"/>
      <c r="Y46" s="240"/>
      <c r="Z46" s="240"/>
      <c r="AA46" s="240"/>
      <c r="AB46" s="240"/>
      <c r="AC46" s="240"/>
      <c r="AD46" s="240"/>
      <c r="AE46" s="240"/>
      <c r="AF46" s="240"/>
      <c r="AG46" s="240"/>
      <c r="AH46" s="240"/>
      <c r="AI46" s="240"/>
      <c r="AJ46" s="240"/>
      <c r="AK46" s="240"/>
      <c r="AL46" s="240"/>
      <c r="AM46" s="240"/>
      <c r="AN46" s="240"/>
      <c r="AO46" s="240"/>
      <c r="AP46" s="240"/>
      <c r="AQ46" s="240"/>
      <c r="AR46" s="240"/>
      <c r="AS46" s="240"/>
      <c r="AT46" s="240"/>
      <c r="AU46" s="240"/>
      <c r="AV46" s="240"/>
      <c r="AW46" s="240"/>
      <c r="AX46" s="240"/>
      <c r="AY46" s="240"/>
      <c r="AZ46" s="240"/>
      <c r="BA46" s="240"/>
      <c r="BB46" s="240"/>
      <c r="BC46" s="240"/>
      <c r="BD46" s="240"/>
      <c r="BE46" s="240"/>
      <c r="BF46" s="240"/>
      <c r="BG46" s="240"/>
      <c r="BH46" s="240"/>
      <c r="BI46" s="240"/>
      <c r="BJ46" s="240"/>
      <c r="BK46" s="240"/>
      <c r="BL46" s="240"/>
      <c r="BM46" s="240"/>
      <c r="BN46" s="240"/>
      <c r="BO46" s="240"/>
      <c r="BP46" s="240"/>
      <c r="BQ46" s="240"/>
      <c r="BR46" s="240"/>
      <c r="BS46" s="240"/>
      <c r="BT46" s="240"/>
      <c r="BU46" s="240"/>
      <c r="BV46" s="240"/>
      <c r="BW46" s="240"/>
      <c r="BX46" s="240"/>
      <c r="BY46" s="240"/>
      <c r="BZ46" s="240"/>
      <c r="CA46" s="240"/>
      <c r="CB46" s="240"/>
      <c r="CC46" s="240"/>
      <c r="CD46" s="240"/>
      <c r="CE46" s="240"/>
      <c r="CF46" s="240"/>
      <c r="CG46" s="240"/>
      <c r="CH46" s="240"/>
      <c r="CI46" s="240"/>
      <c r="CJ46" s="240"/>
      <c r="CK46" s="240"/>
      <c r="CL46" s="240"/>
      <c r="CM46" s="240"/>
      <c r="CN46" s="240"/>
      <c r="CO46" s="240"/>
      <c r="CP46" s="240"/>
      <c r="CQ46" s="240"/>
      <c r="CR46" s="240"/>
      <c r="CS46" s="240"/>
      <c r="CT46" s="240"/>
      <c r="CU46" s="240"/>
      <c r="CV46" s="240"/>
      <c r="CW46" s="240"/>
      <c r="CX46" s="240"/>
      <c r="CY46" s="240"/>
      <c r="CZ46" s="240"/>
      <c r="DA46" s="240"/>
      <c r="DB46" s="240"/>
      <c r="DC46" s="240"/>
      <c r="DD46" s="240"/>
      <c r="DE46" s="240"/>
      <c r="DF46" s="240"/>
      <c r="DG46" s="240"/>
      <c r="DH46" s="240"/>
      <c r="DI46" s="240"/>
      <c r="DJ46" s="240"/>
      <c r="DK46" s="240"/>
      <c r="DL46" s="240"/>
      <c r="DM46" s="240"/>
      <c r="DN46" s="240"/>
      <c r="DO46" s="240"/>
      <c r="DP46" s="240"/>
      <c r="DQ46" s="240"/>
      <c r="DR46" s="240"/>
      <c r="DS46" s="240"/>
      <c r="DT46" s="240"/>
      <c r="DU46" s="240"/>
      <c r="DV46" s="240"/>
      <c r="DW46" s="240"/>
      <c r="DX46" s="240"/>
      <c r="DY46" s="240"/>
      <c r="DZ46" s="240"/>
      <c r="EA46" s="240"/>
      <c r="EB46" s="240"/>
      <c r="EC46" s="240"/>
      <c r="ED46" s="240"/>
      <c r="EE46" s="240"/>
      <c r="EF46" s="240"/>
      <c r="EG46" s="240"/>
      <c r="EH46" s="240"/>
      <c r="EI46" s="240"/>
      <c r="EJ46" s="240"/>
      <c r="EK46" s="240"/>
      <c r="EL46" s="240"/>
      <c r="EM46" s="240"/>
      <c r="EN46" s="240"/>
      <c r="EO46" s="240"/>
      <c r="EP46" s="240"/>
      <c r="EQ46" s="240"/>
      <c r="ER46" s="240"/>
      <c r="ES46" s="240"/>
      <c r="ET46" s="240"/>
      <c r="EU46" s="240"/>
      <c r="EV46" s="240"/>
      <c r="EW46" s="240"/>
      <c r="EX46" s="240"/>
      <c r="EY46" s="240"/>
      <c r="EZ46" s="240"/>
      <c r="FA46" s="240"/>
      <c r="FB46" s="240"/>
      <c r="FC46" s="240"/>
      <c r="FD46" s="240"/>
      <c r="FE46" s="240"/>
      <c r="FF46" s="240"/>
      <c r="FG46" s="240"/>
      <c r="FH46" s="240"/>
      <c r="FI46" s="240"/>
      <c r="FJ46" s="240"/>
      <c r="FK46" s="240"/>
      <c r="FL46" s="240"/>
      <c r="FM46" s="240"/>
      <c r="FN46" s="240"/>
      <c r="FO46" s="240"/>
      <c r="FP46" s="240"/>
      <c r="FQ46" s="240"/>
      <c r="FR46" s="240"/>
      <c r="FS46" s="240"/>
      <c r="FT46" s="240"/>
      <c r="FU46" s="240"/>
      <c r="FV46" s="240"/>
      <c r="FW46" s="240"/>
      <c r="FX46" s="240"/>
      <c r="FY46" s="240"/>
      <c r="FZ46" s="240"/>
      <c r="GA46" s="240"/>
      <c r="GB46" s="240"/>
      <c r="GC46" s="240"/>
      <c r="GD46" s="240"/>
      <c r="GE46" s="240"/>
      <c r="GF46" s="240"/>
      <c r="GG46" s="240"/>
      <c r="GH46" s="240"/>
      <c r="GI46" s="240"/>
      <c r="GJ46" s="240"/>
      <c r="GK46" s="240"/>
      <c r="GL46" s="240"/>
      <c r="GM46" s="240"/>
      <c r="GN46" s="240"/>
      <c r="GO46" s="240"/>
      <c r="GP46" s="240"/>
      <c r="GQ46" s="240"/>
      <c r="GR46" s="240"/>
      <c r="GS46" s="240"/>
      <c r="GT46" s="240"/>
      <c r="GU46" s="240"/>
      <c r="GV46" s="240"/>
      <c r="GW46" s="240"/>
      <c r="GX46" s="240"/>
      <c r="GY46" s="240"/>
      <c r="GZ46" s="240"/>
      <c r="HA46" s="240"/>
      <c r="HB46" s="240"/>
      <c r="HC46" s="240"/>
      <c r="HD46" s="240"/>
      <c r="HE46" s="240"/>
      <c r="HF46" s="240"/>
      <c r="HG46" s="240"/>
      <c r="HH46" s="240"/>
      <c r="HI46" s="240"/>
      <c r="HJ46" s="240"/>
      <c r="HK46" s="240"/>
      <c r="HL46" s="240"/>
      <c r="HM46" s="240"/>
      <c r="HN46" s="240"/>
      <c r="HO46" s="240"/>
      <c r="HP46" s="240"/>
      <c r="HQ46" s="240"/>
      <c r="HR46" s="240"/>
      <c r="HS46" s="240"/>
      <c r="HT46" s="240"/>
      <c r="HU46" s="240"/>
      <c r="HV46" s="240"/>
      <c r="HW46" s="240"/>
      <c r="HX46" s="240"/>
      <c r="HY46" s="240"/>
      <c r="HZ46" s="240"/>
      <c r="IA46" s="240"/>
      <c r="IB46" s="240"/>
      <c r="IC46" s="240"/>
      <c r="ID46" s="240"/>
      <c r="IE46" s="240"/>
      <c r="IF46" s="240"/>
      <c r="IG46" s="240"/>
      <c r="IH46" s="240"/>
      <c r="II46" s="240"/>
      <c r="IJ46" s="240"/>
      <c r="IK46" s="240"/>
      <c r="IL46" s="240"/>
      <c r="IM46" s="240"/>
      <c r="IN46" s="240"/>
      <c r="IO46" s="240"/>
      <c r="IP46" s="240"/>
      <c r="IQ46" s="240"/>
      <c r="IR46" s="240"/>
      <c r="IS46" s="240"/>
      <c r="IT46" s="240"/>
      <c r="IU46" s="240"/>
      <c r="IV46" s="240"/>
      <c r="IW46" s="240"/>
      <c r="IX46" s="240"/>
      <c r="IY46" s="240"/>
      <c r="IZ46" s="240"/>
      <c r="JA46" s="240"/>
      <c r="JB46" s="240"/>
      <c r="JC46" s="240"/>
      <c r="JD46" s="240"/>
      <c r="JE46" s="240"/>
      <c r="JF46" s="240"/>
      <c r="JG46" s="240"/>
      <c r="JH46" s="240"/>
      <c r="JI46" s="240"/>
      <c r="JJ46" s="240"/>
      <c r="JK46" s="240"/>
      <c r="JL46" s="240"/>
      <c r="JM46" s="240"/>
      <c r="JN46" s="240"/>
      <c r="JO46" s="240"/>
      <c r="JP46" s="240"/>
      <c r="JQ46" s="240"/>
      <c r="JR46" s="240"/>
      <c r="JS46" s="240"/>
      <c r="JT46" s="240"/>
      <c r="JU46" s="240"/>
      <c r="JV46" s="240"/>
      <c r="JW46" s="240"/>
      <c r="JX46" s="240"/>
      <c r="JY46" s="240"/>
      <c r="JZ46" s="240"/>
      <c r="KA46" s="240"/>
      <c r="KB46" s="240"/>
      <c r="KC46" s="240"/>
      <c r="KD46" s="240"/>
      <c r="KE46" s="240"/>
      <c r="KF46" s="240"/>
      <c r="KG46" s="240"/>
      <c r="KH46" s="240"/>
      <c r="KI46" s="240"/>
      <c r="KJ46" s="240"/>
      <c r="KK46" s="240"/>
      <c r="KL46" s="240"/>
      <c r="KM46" s="240"/>
      <c r="KN46" s="240"/>
      <c r="KO46" s="240"/>
      <c r="KP46" s="240"/>
      <c r="KQ46" s="240"/>
      <c r="KR46" s="240"/>
      <c r="KS46" s="240"/>
      <c r="KT46" s="240"/>
      <c r="KU46" s="240"/>
      <c r="KV46" s="240"/>
      <c r="KW46" s="240"/>
      <c r="KX46" s="240"/>
      <c r="KY46" s="240"/>
      <c r="KZ46" s="240"/>
      <c r="LA46" s="240"/>
      <c r="LB46" s="240"/>
      <c r="LC46" s="240"/>
      <c r="LD46" s="240"/>
      <c r="LE46" s="240"/>
      <c r="LF46" s="240"/>
      <c r="LG46" s="240"/>
    </row>
    <row r="47" spans="1:352" ht="17.25" customHeight="1" x14ac:dyDescent="0.25"/>
    <row r="48" spans="1:352" s="14" customFormat="1" ht="17.25" customHeight="1" x14ac:dyDescent="0.25">
      <c r="B48" s="13"/>
      <c r="C48" s="1"/>
      <c r="D48" s="29"/>
      <c r="E48"/>
      <c r="F48" s="1"/>
      <c r="G48" s="1"/>
      <c r="H48"/>
      <c r="I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</row>
    <row r="49" spans="2:319" s="14" customFormat="1" ht="17.25" customHeight="1" x14ac:dyDescent="0.25">
      <c r="B49" s="13"/>
      <c r="C49" s="1"/>
      <c r="D49" s="29"/>
      <c r="E49"/>
      <c r="F49" s="1"/>
      <c r="G49" s="1"/>
      <c r="H49"/>
      <c r="I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</row>
  </sheetData>
  <mergeCells count="12">
    <mergeCell ref="I5:I7"/>
    <mergeCell ref="J5:J7"/>
    <mergeCell ref="A1:H1"/>
    <mergeCell ref="A3:H3"/>
    <mergeCell ref="A5:A7"/>
    <mergeCell ref="B5:B7"/>
    <mergeCell ref="C5:C7"/>
    <mergeCell ref="D5:D7"/>
    <mergeCell ref="E5:E7"/>
    <mergeCell ref="F5:F7"/>
    <mergeCell ref="G5:G7"/>
    <mergeCell ref="H5:H7"/>
  </mergeCells>
  <conditionalFormatting sqref="FH25:HL25">
    <cfRule type="top10" dxfId="2" priority="3" rank="15"/>
  </conditionalFormatting>
  <conditionalFormatting sqref="FH36:HL36">
    <cfRule type="top10" dxfId="1" priority="2" rank="15"/>
  </conditionalFormatting>
  <conditionalFormatting sqref="FH15:HL15">
    <cfRule type="top10" dxfId="0" priority="1" rank="1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14:A142"/>
  <sheetViews>
    <sheetView showGridLines="0" workbookViewId="0">
      <selection activeCell="I3" sqref="I3"/>
    </sheetView>
  </sheetViews>
  <sheetFormatPr defaultRowHeight="13.2" x14ac:dyDescent="0.25"/>
  <cols>
    <col min="1" max="1" width="17.88671875" customWidth="1"/>
    <col min="2" max="9" width="9.6640625" customWidth="1"/>
    <col min="10" max="11" width="10.33203125" customWidth="1"/>
  </cols>
  <sheetData>
    <row r="114" s="13" customFormat="1" ht="18" customHeight="1" x14ac:dyDescent="0.25"/>
    <row r="115" s="13" customFormat="1" ht="18" customHeight="1" x14ac:dyDescent="0.25"/>
    <row r="116" ht="18" customHeight="1" x14ac:dyDescent="0.25"/>
    <row r="117" ht="18" customHeight="1" x14ac:dyDescent="0.25"/>
    <row r="118" ht="18" customHeight="1" x14ac:dyDescent="0.25"/>
    <row r="119" ht="18" customHeight="1" x14ac:dyDescent="0.25"/>
    <row r="120" ht="18" customHeight="1" x14ac:dyDescent="0.25"/>
    <row r="121" ht="18" customHeight="1" x14ac:dyDescent="0.25"/>
    <row r="122" ht="18" customHeight="1" x14ac:dyDescent="0.25"/>
    <row r="123" ht="18" customHeight="1" x14ac:dyDescent="0.25"/>
    <row r="142" ht="18" customHeight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8</vt:i4>
      </vt:variant>
    </vt:vector>
  </HeadingPairs>
  <TitlesOfParts>
    <vt:vector size="8" baseType="lpstr">
      <vt:lpstr>Seniori</vt:lpstr>
      <vt:lpstr>Mladí jazdci</vt:lpstr>
      <vt:lpstr>Juniori</vt:lpstr>
      <vt:lpstr>Deti</vt:lpstr>
      <vt:lpstr>Pony jazdci</vt:lpstr>
      <vt:lpstr>Kôň roka</vt:lpstr>
      <vt:lpstr>Mladý kôň roka</vt:lpstr>
      <vt:lpstr>Pravidlá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-</dc:creator>
  <cp:keywords/>
  <dc:description/>
  <cp:lastModifiedBy>HP</cp:lastModifiedBy>
  <cp:revision/>
  <dcterms:created xsi:type="dcterms:W3CDTF">2011-03-12T20:18:46Z</dcterms:created>
  <dcterms:modified xsi:type="dcterms:W3CDTF">2021-12-08T21:31:00Z</dcterms:modified>
  <cp:category/>
  <cp:contentStatus/>
</cp:coreProperties>
</file>